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5600" windowHeight="7860" activeTab="0"/>
  </bookViews>
  <sheets>
    <sheet name="Introduction" sheetId="1" r:id="rId1"/>
    <sheet name="Case 1 Income" sheetId="2" r:id="rId2"/>
    <sheet name="Case 2 Income" sheetId="3" r:id="rId3"/>
  </sheets>
  <definedNames/>
  <calcPr fullCalcOnLoad="1"/>
</workbook>
</file>

<file path=xl/sharedStrings.xml><?xml version="1.0" encoding="utf-8"?>
<sst xmlns="http://schemas.openxmlformats.org/spreadsheetml/2006/main" count="453" uniqueCount="311">
  <si>
    <t>Hi</t>
  </si>
  <si>
    <t>Lo</t>
  </si>
  <si>
    <t>Larger of</t>
  </si>
  <si>
    <t>No Suspend</t>
  </si>
  <si>
    <t>File &amp; Suspend</t>
  </si>
  <si>
    <t>Suspend</t>
  </si>
  <si>
    <t>Factor</t>
  </si>
  <si>
    <t>Selection</t>
  </si>
  <si>
    <t>on own</t>
  </si>
  <si>
    <t>No Suspension</t>
  </si>
  <si>
    <t>Own/No</t>
  </si>
  <si>
    <t>Own/File</t>
  </si>
  <si>
    <t>Own/Sus</t>
  </si>
  <si>
    <t>Age Now</t>
  </si>
  <si>
    <t>Inflation</t>
  </si>
  <si>
    <t>Death</t>
  </si>
  <si>
    <t>Value</t>
  </si>
  <si>
    <t>Pension</t>
  </si>
  <si>
    <t>Lo's</t>
  </si>
  <si>
    <t>Hi's</t>
  </si>
  <si>
    <t>Social Security Age Factors</t>
  </si>
  <si>
    <t>Normal</t>
  </si>
  <si>
    <t>Select an option.</t>
  </si>
  <si>
    <t>Lo's Age</t>
  </si>
  <si>
    <t>Hi's Age</t>
  </si>
  <si>
    <t>Annual</t>
  </si>
  <si>
    <t>Income</t>
  </si>
  <si>
    <t xml:space="preserve">             Ages</t>
  </si>
  <si>
    <t xml:space="preserve">        Social Security</t>
  </si>
  <si>
    <t xml:space="preserve">           Pension</t>
  </si>
  <si>
    <t>You can add notes here:</t>
  </si>
  <si>
    <t>Introduction</t>
  </si>
  <si>
    <t>Case 1 Income</t>
  </si>
  <si>
    <t>Case 2 Income</t>
  </si>
  <si>
    <t>You can make different entries on each case to compare Case 2 to Case 1.</t>
  </si>
  <si>
    <t>Savings Req'd</t>
  </si>
  <si>
    <t>Retirement Income</t>
  </si>
  <si>
    <t>Soc. Sec.</t>
  </si>
  <si>
    <t>Age</t>
  </si>
  <si>
    <t>Case 2</t>
  </si>
  <si>
    <t>The lifetime income from Social Security and pensions</t>
  </si>
  <si>
    <t>The minimum savings required now.  See Minimum Savings below.</t>
  </si>
  <si>
    <t>Savings Red</t>
  </si>
  <si>
    <t>Survivor</t>
  </si>
  <si>
    <t>Monthly Social Security at 66*</t>
  </si>
  <si>
    <t>Social Security &amp; Pension Income</t>
  </si>
  <si>
    <t>Years till pension starts</t>
  </si>
  <si>
    <t>Today's value</t>
  </si>
  <si>
    <t>Pensions</t>
  </si>
  <si>
    <t>Use of this program and the optional tab means that you accept the following 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</si>
  <si>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</si>
  <si>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</si>
  <si>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</si>
  <si>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</si>
  <si>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</si>
  <si>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</si>
  <si>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</si>
  <si>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</si>
  <si>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</si>
  <si>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</si>
  <si>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</si>
  <si>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</si>
  <si>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</si>
  <si>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</si>
  <si>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</si>
  <si>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Case 1:</t>
  </si>
  <si>
    <t>Case 2.</t>
  </si>
  <si>
    <t>Copyright H.K. Hebeler 2012</t>
  </si>
  <si>
    <t>Copyright H. K. Hebeler 2012</t>
  </si>
  <si>
    <t>New updates appear periodically on www.analyzenow.com</t>
  </si>
  <si>
    <t>Some savings plans give you a choice between a lump sum and a pension.  To see which may be</t>
  </si>
  <si>
    <t>Compare starting ages for Social Security</t>
  </si>
  <si>
    <t>Compare starting ages for Pensions</t>
  </si>
  <si>
    <r>
      <t>You can use this program to make important decisions that will make</t>
    </r>
    <r>
      <rPr>
        <sz val="11"/>
        <color indexed="10"/>
        <rFont val="Calibri"/>
        <family val="2"/>
      </rPr>
      <t xml:space="preserve"> large differences in your retirement</t>
    </r>
    <r>
      <rPr>
        <sz val="11"/>
        <color theme="1"/>
        <rFont val="Calibri"/>
        <family val="2"/>
      </rPr>
      <t>.</t>
    </r>
  </si>
  <si>
    <t>Pension Survivor %</t>
  </si>
  <si>
    <t>Case 1</t>
  </si>
  <si>
    <t xml:space="preserve">      Control Social Security Options</t>
  </si>
  <si>
    <t xml:space="preserve">       Control Social Security Options</t>
  </si>
  <si>
    <t>Employer's estimate of wage growth rate minus your estimate of wage growth rate*</t>
  </si>
  <si>
    <t>Single</t>
  </si>
  <si>
    <t>Married</t>
  </si>
  <si>
    <t xml:space="preserve">I am    </t>
  </si>
  <si>
    <t>In Case 2, you can show different ages, amounts, options, etc., than in Case 1.</t>
  </si>
  <si>
    <t>YOU CAN MAKE ENTRIES ONLY IN THE BLUE CELLS OR CLICK ON OPTION BOXES OR BUTTONS.</t>
  </si>
  <si>
    <t>Only make entries in blue cells that have example values or click on check boxes or buttons!</t>
  </si>
  <si>
    <t>It's hard for most people to discover alternatives that could greatly improve</t>
  </si>
  <si>
    <t>their benefits from Social Security and pensions.  We'll try to make that easy.</t>
  </si>
  <si>
    <t>The purpose of this program is to help those near retirement whether single or</t>
  </si>
  <si>
    <t>your net receipts from this income can be substantially lower because of deductions for health insurance, Medicare</t>
  </si>
  <si>
    <t>See how the length of both lives affect results including survivor benefits.</t>
  </si>
  <si>
    <t>married.  With a simple click of a button or an entry change, you'll be able to</t>
  </si>
  <si>
    <t>These strategies can increase your own gross income from Social Security by</t>
  </si>
  <si>
    <t>What is our best strategy for taking Social Security and pensions?</t>
  </si>
  <si>
    <r>
      <t xml:space="preserve">This program projects your future </t>
    </r>
    <r>
      <rPr>
        <sz val="11"/>
        <color indexed="10"/>
        <rFont val="Calibri"/>
        <family val="2"/>
      </rPr>
      <t>GROSS</t>
    </r>
    <r>
      <rPr>
        <sz val="11"/>
        <rFont val="Calibri"/>
        <family val="2"/>
      </rPr>
      <t xml:space="preserve"> income from Social Security and pensions.  You should be aware that</t>
    </r>
  </si>
  <si>
    <t>"withdrawing" your application for benefits) and start from scratch--if you pay back to Social Security</t>
  </si>
  <si>
    <t>the gross amount already given to you.  This would include any Medicare or tax deductions.</t>
  </si>
  <si>
    <t>when you reach your full-retirement-age (about 66)--and restart your benefits as late as age 70.  (You can</t>
  </si>
  <si>
    <r>
      <t xml:space="preserve">find your full-retirement-age at </t>
    </r>
    <r>
      <rPr>
        <u val="single"/>
        <sz val="11"/>
        <rFont val="Calibri"/>
        <family val="2"/>
      </rPr>
      <t>www.ssa.gov</t>
    </r>
    <r>
      <rPr>
        <sz val="11"/>
        <rFont val="Calibri"/>
        <family val="2"/>
      </rPr>
      <t>.)  Suspending benefits at full retirement age and restarting</t>
    </r>
  </si>
  <si>
    <t>payments at a later date allows you to take advantage of "delayed retirement credits," which can</t>
  </si>
  <si>
    <t>increase your benefits by as much as 32% and your NET payments by substantially larger percentages.</t>
  </si>
  <si>
    <r>
      <t xml:space="preserve">(2) If you have been taking Social Security for more than one year, you can </t>
    </r>
    <r>
      <rPr>
        <sz val="11"/>
        <color indexed="10"/>
        <rFont val="Calibri"/>
        <family val="2"/>
      </rPr>
      <t>SUSPEND</t>
    </r>
    <r>
      <rPr>
        <sz val="11"/>
        <rFont val="Calibri"/>
        <family val="2"/>
      </rPr>
      <t xml:space="preserve"> your payments</t>
    </r>
  </si>
  <si>
    <r>
      <t xml:space="preserve">(1) If you first claimed benefits less than one year ago, you can </t>
    </r>
    <r>
      <rPr>
        <sz val="11"/>
        <color indexed="10"/>
        <rFont val="Calibri"/>
        <family val="2"/>
      </rPr>
      <t>stop your payments</t>
    </r>
    <r>
      <rPr>
        <sz val="11"/>
        <rFont val="Calibri"/>
        <family val="2"/>
      </rPr>
      <t xml:space="preserve"> (also known as</t>
    </r>
  </si>
  <si>
    <t>In addition, you should have sufficient savings for emergencies, known large future expenses, and</t>
  </si>
  <si>
    <t>Many err in pension entries because they do not understand the basis for an employer's projection.  Fixed-payment</t>
  </si>
  <si>
    <t>employer how the amount will change with different survivor percentages.  A pension with 100% survivor</t>
  </si>
  <si>
    <t>payments will be much less than one with 50%, for example.  If you have not already determined your age to</t>
  </si>
  <si>
    <t>The projections for this program assume that you have entered the pensions in today's dollar values.  If you will</t>
  </si>
  <si>
    <t>get a fixed pension, use the calculator below to determine the appropriate entry.  Also use the calculator if your</t>
  </si>
  <si>
    <t>employer's projection has assumed excessive wage growth.</t>
  </si>
  <si>
    <t>*  Example, if employer's projection based on 4% per year wage increases, but your estimate is</t>
  </si>
  <si>
    <t>with your local SSA office before irrevocably committing to any strategy.</t>
  </si>
  <si>
    <t>you get an annuity that is inflation-adjusted which also pays your spouse and offers incredible survivor benefits</t>
  </si>
  <si>
    <r>
      <t xml:space="preserve">and is government guaranteed? </t>
    </r>
    <r>
      <rPr>
        <sz val="11"/>
        <color indexed="10"/>
        <rFont val="Calibri"/>
        <family val="2"/>
      </rPr>
      <t xml:space="preserve"> SO LISTEN UP!</t>
    </r>
    <r>
      <rPr>
        <sz val="11"/>
        <rFont val="Calibri"/>
        <family val="2"/>
      </rPr>
      <t xml:space="preserve">  Take advantage of those FICA taxes you paid while working.</t>
    </r>
  </si>
  <si>
    <r>
      <t xml:space="preserve">This is also one of the few programs that estimates </t>
    </r>
    <r>
      <rPr>
        <sz val="11"/>
        <color indexed="10"/>
        <rFont val="Calibri"/>
        <family val="2"/>
      </rPr>
      <t>how much you should have saved</t>
    </r>
    <r>
      <rPr>
        <sz val="11"/>
        <color theme="1"/>
        <rFont val="Calibri"/>
        <family val="2"/>
      </rPr>
      <t xml:space="preserve"> if you retire soon and</t>
    </r>
  </si>
  <si>
    <t>want to use these alternative strategies without serious income reductions early in retirement.</t>
  </si>
  <si>
    <r>
      <t xml:space="preserve">before the other. </t>
    </r>
    <r>
      <rPr>
        <sz val="11"/>
        <color indexed="10"/>
        <rFont val="Calibri"/>
        <family val="2"/>
      </rPr>
      <t xml:space="preserve"> Few other Social Security programs account for Social Security's generous survival amounts.</t>
    </r>
  </si>
  <si>
    <t>pensions are usually estimated on the basis of future wage growth.  Ask your employer if in doubt.  Also ask your</t>
  </si>
  <si>
    <t>retire, you will need the pension information for several retirement ages because the values will be quite different.</t>
  </si>
  <si>
    <t>Employer's projection of the pension value</t>
  </si>
  <si>
    <t>Social Security is the safest, least expensive and most generous longevity insurance available.  Where else can</t>
  </si>
  <si>
    <t>Bill</t>
  </si>
  <si>
    <t>Age to Die**</t>
  </si>
  <si>
    <t>Notes:</t>
  </si>
  <si>
    <t>Hi @ 70</t>
  </si>
  <si>
    <t>Lo @ 70</t>
  </si>
  <si>
    <t>Start SS</t>
  </si>
  <si>
    <t>Higher (lower) by</t>
  </si>
  <si>
    <t>Start age for Social Security</t>
  </si>
  <si>
    <t>Start age for Pension</t>
  </si>
  <si>
    <t>** If death at less than 70, special rules may apply.</t>
  </si>
  <si>
    <t>may be better for the extra savings invested.  Results are displayed in Case 2's red cells adjacent to the</t>
  </si>
  <si>
    <t>&lt;From Case 1</t>
  </si>
  <si>
    <t>&lt;Cost</t>
  </si>
  <si>
    <t>&lt;Benefit</t>
  </si>
  <si>
    <t>Short Nickname or initials</t>
  </si>
  <si>
    <t>Req'd Save</t>
  </si>
  <si>
    <t>before</t>
  </si>
  <si>
    <t>Change log:</t>
  </si>
  <si>
    <t>Jane</t>
  </si>
  <si>
    <t>9/26/12.  Modified program to let those who have already started Social Security do a cost-benefit analysis</t>
  </si>
  <si>
    <t xml:space="preserve">and improved accuracy of Suspend option for cases where Social Security was starting before age to start. </t>
  </si>
  <si>
    <r>
      <t>You can use the program either if you are</t>
    </r>
    <r>
      <rPr>
        <sz val="11"/>
        <color indexed="10"/>
        <rFont val="Calibri"/>
        <family val="2"/>
      </rPr>
      <t xml:space="preserve"> single or married</t>
    </r>
    <r>
      <rPr>
        <sz val="11"/>
        <rFont val="Calibri"/>
        <family val="2"/>
      </rPr>
      <t>.  Just click on the appropriate button in Case 1.</t>
    </r>
  </si>
  <si>
    <t>an arbitrary reserve for unknown future expenses, perhaps 10% of savings or one-half year's wages..</t>
  </si>
  <si>
    <t>Age to Retire</t>
  </si>
  <si>
    <t>Ages to start using savings</t>
  </si>
  <si>
    <t>Annual income from retirement till first death</t>
  </si>
  <si>
    <t>Annual survivor's income</t>
  </si>
  <si>
    <t>Lo's age then</t>
  </si>
  <si>
    <t>Survivor's Benefit</t>
  </si>
  <si>
    <t>Hi's own</t>
  </si>
  <si>
    <t>Lo"s own</t>
  </si>
  <si>
    <t>Hi gets</t>
  </si>
  <si>
    <t>Lo gets</t>
  </si>
  <si>
    <t>Dies at</t>
  </si>
  <si>
    <t>Surviving Benefit</t>
  </si>
  <si>
    <t>Hi's age @</t>
  </si>
  <si>
    <t>surv. Age</t>
  </si>
  <si>
    <t>Survivor gets&gt;</t>
  </si>
  <si>
    <t>Results:</t>
  </si>
  <si>
    <t>income before and after first death.   Charts changed to today's dollar values instead of current values.</t>
  </si>
  <si>
    <t>Benefit now includes return of principal from savings.</t>
  </si>
  <si>
    <t>Minimum savings at retirement (See Introduction)</t>
  </si>
  <si>
    <t>See the minimum you will need to have saved at retirement in order to have the same income</t>
  </si>
  <si>
    <r>
      <t xml:space="preserve">Case 2 compares the </t>
    </r>
    <r>
      <rPr>
        <sz val="11"/>
        <color indexed="10"/>
        <rFont val="Calibri"/>
        <family val="2"/>
      </rPr>
      <t>income and minimum savings</t>
    </r>
    <r>
      <rPr>
        <sz val="11"/>
        <color theme="1"/>
        <rFont val="Calibri"/>
        <family val="2"/>
      </rPr>
      <t xml:space="preserve"> for Case 1 and Case 2 in YELLOW cells.</t>
    </r>
  </si>
  <si>
    <t>If there is sufficient savings, the annual income differences are often the most important</t>
  </si>
  <si>
    <t>factors because death ages are so uncertain.</t>
  </si>
  <si>
    <t>the monthly payments at age 66 for most people.  You can get these either from your annual forecasts from the</t>
  </si>
  <si>
    <r>
      <t>SSA, www.ssa.gov or phone 1-800-772-1213 or</t>
    </r>
    <r>
      <rPr>
        <sz val="11"/>
        <color indexed="8"/>
        <rFont val="Calibri"/>
        <family val="2"/>
      </rPr>
      <t xml:space="preserve"> www.ssa.gov</t>
    </r>
    <r>
      <rPr>
        <sz val="11"/>
        <color theme="1"/>
        <rFont val="Calibri"/>
        <family val="2"/>
      </rPr>
      <t>.</t>
    </r>
  </si>
  <si>
    <t>Minimum savings would support retirement spending at a constant inflation-adjusted amount</t>
  </si>
  <si>
    <t>if you could invest your savings at a rate equal to inflation.  With a higher return, you can save less.</t>
  </si>
  <si>
    <t>Enter your own title for chart below or delete to use default title.</t>
  </si>
  <si>
    <t>Excluding the Great Depression, long-term inflation was over 4%.</t>
  </si>
  <si>
    <t>Chart does not show income from savings used to make constant income until survivor's benefit starts.</t>
  </si>
  <si>
    <t>1% per year, you would enter 4% - 1% =  3%.</t>
  </si>
  <si>
    <t>Monthly Pension***</t>
  </si>
  <si>
    <t>*** See Pensions in Introduction.</t>
  </si>
  <si>
    <t>Check if Pension COLA****</t>
  </si>
  <si>
    <t>**** COLA = Cost of Living Adjusted payments</t>
  </si>
  <si>
    <t>*** See Pensions in Introduction</t>
  </si>
  <si>
    <t>Own/Su</t>
  </si>
  <si>
    <t>Enter only whole numbers for ages, e.g., 62, not 61.5</t>
  </si>
  <si>
    <t>SS + Pension</t>
  </si>
  <si>
    <t>Graphic Data</t>
  </si>
  <si>
    <t>Medicare monthly deduction for each spouse</t>
  </si>
  <si>
    <t>Benefit less cost (Depends on death ages)</t>
  </si>
  <si>
    <t>Less MC</t>
  </si>
  <si>
    <t>less MC</t>
  </si>
  <si>
    <t>$100 to over $300 depending on income.  (See www.ssa.gov)</t>
  </si>
  <si>
    <t>Enter $0 for gross income comparison.  To get net income, enter</t>
  </si>
  <si>
    <t>Suspend at 66</t>
  </si>
  <si>
    <t>Hi's age</t>
  </si>
  <si>
    <t xml:space="preserve"> @ Lo die</t>
  </si>
  <si>
    <t>Lo's age</t>
  </si>
  <si>
    <t xml:space="preserve"> @ Hi die</t>
  </si>
  <si>
    <t>Users must be over 49 and under 66 to use this program.</t>
  </si>
  <si>
    <t>This program accounts for the suspend alternative.</t>
  </si>
  <si>
    <t>Select one.</t>
  </si>
  <si>
    <t>10/8/12.  Added provisions for Medicare deductions from Social Security monthly checks.  Improved graphics.</t>
  </si>
  <si>
    <t>throughout retirement without part-time work.</t>
  </si>
  <si>
    <t>It assumes that neither spouse has added anything to savings form post-retirement wages.</t>
  </si>
  <si>
    <t>10/1/12.  Entered a specific retirement year rather than HI's current age and added cells showing retirement</t>
  </si>
  <si>
    <t>You can add your notes here:</t>
  </si>
  <si>
    <t>The minimum saving requirement is approximately the least amount of savings needed at retirement</t>
  </si>
  <si>
    <t>until death of the first spouse followed by an amount from the surviving spouse as I it were inflation</t>
  </si>
  <si>
    <t>found in annual SSA report or phone 1-800-772-1213.</t>
  </si>
  <si>
    <r>
      <t>* Social Security at "full-retirement-age" (66)</t>
    </r>
    <r>
      <rPr>
        <sz val="11"/>
        <color indexed="8"/>
        <rFont val="Can be"/>
        <family val="0"/>
      </rPr>
      <t xml:space="preserve"> can be</t>
    </r>
  </si>
  <si>
    <t>10/9/12.  Added provisions for cases where Lo's FRA benefit is more than 50% of Hi's showing the results</t>
  </si>
  <si>
    <t>Spousal</t>
  </si>
  <si>
    <t>benefit in</t>
  </si>
  <si>
    <t>File &amp; Sus</t>
  </si>
  <si>
    <t>File &amp; Suspend at 66*****</t>
  </si>
  <si>
    <t>start a spousal benefit (if larger than own benefit) when  Hi Files and Suspends.  The earliest Hi can</t>
  </si>
  <si>
    <t>File &amp; Suspend is HI's full-retirement-age which is 66 for most who will use this program.  The latest</t>
  </si>
  <si>
    <t xml:space="preserve">suspend HI's payments and restart at HI's age 70 at up to 32% higher income from Hi's age of 70 on. </t>
  </si>
  <si>
    <t>If Lo's full-retirement-age benefit is more than one-half of Hi's, Hi can draw a spousal benefit during</t>
  </si>
  <si>
    <r>
      <t xml:space="preserve">the suspension if Lo has already started taking a benefit.  Although this is really a </t>
    </r>
    <r>
      <rPr>
        <sz val="11"/>
        <color indexed="10"/>
        <rFont val="Calibri"/>
        <family val="2"/>
      </rPr>
      <t>File a Restricted</t>
    </r>
  </si>
  <si>
    <r>
      <rPr>
        <sz val="11"/>
        <color indexed="10"/>
        <rFont val="Calibri"/>
        <family val="2"/>
      </rPr>
      <t>Application</t>
    </r>
    <r>
      <rPr>
        <sz val="11"/>
        <color theme="1"/>
        <rFont val="Calibri"/>
        <family val="2"/>
      </rPr>
      <t xml:space="preserve"> (see below), the program automatically takes advantage of this option.</t>
    </r>
  </si>
  <si>
    <t>you can simulate this case by selecting File &amp; Suspend for Hi and delaying Lo's start of Social Security to</t>
  </si>
  <si>
    <t>benefit is less than 50% of the other's benefit.  Because of the way we have set up File &amp; Suspend,</t>
  </si>
  <si>
    <t>to start at 70.</t>
  </si>
  <si>
    <t>reached full-retirement age.  The benefit of this is that each will have maximum Social Security</t>
  </si>
  <si>
    <t>Restricted Application.</t>
  </si>
  <si>
    <t>***** See Options on Introduction tab for use with File</t>
  </si>
  <si>
    <t xml:space="preserve">Hi can start HI's own payments is HI's age of 70 when HI's payments will be much larger. </t>
  </si>
  <si>
    <t>benefits after 70.  This only makes sense if both FRA benefits are similar, or specifically, if neither</t>
  </si>
  <si>
    <t xml:space="preserve">adjusted.  Unless you have a substantial pension, you may not feel comfortable living on Social Security </t>
  </si>
  <si>
    <t>Also added increment to minimum savings to cover the survivor's loss from inflation for a fixed pension.</t>
  </si>
  <si>
    <t>From Savings</t>
  </si>
  <si>
    <t>SS at 70</t>
  </si>
  <si>
    <t>Hi's Pen at 70</t>
  </si>
  <si>
    <t>Lo's Pen at 70</t>
  </si>
  <si>
    <t>Case 1 SS + Pen</t>
  </si>
  <si>
    <t>Case 2 SS + Pen</t>
  </si>
  <si>
    <r>
      <t xml:space="preserve">This program uses a </t>
    </r>
    <r>
      <rPr>
        <sz val="11"/>
        <color indexed="10"/>
        <rFont val="Calibri"/>
        <family val="2"/>
      </rPr>
      <t xml:space="preserve">cost-benefit analysis </t>
    </r>
    <r>
      <rPr>
        <sz val="11"/>
        <color theme="1"/>
        <rFont val="Calibri"/>
        <family val="2"/>
      </rPr>
      <t>which is much more powerful and revealing than conventional</t>
    </r>
  </si>
  <si>
    <t>"breakeven" analysis.  It is one of the very few programs where you can quantify the difference in lifetime</t>
  </si>
  <si>
    <t>Social Security and pensions.  This often determines which is the optimum strategy.</t>
  </si>
  <si>
    <r>
      <t xml:space="preserve"> income from dying at different ages for either spouse because it accounts for </t>
    </r>
    <r>
      <rPr>
        <sz val="11"/>
        <color indexed="10"/>
        <rFont val="Calibri"/>
        <family val="2"/>
      </rPr>
      <t>survivor benefits</t>
    </r>
    <r>
      <rPr>
        <sz val="11"/>
        <color theme="1"/>
        <rFont val="Calibri"/>
        <family val="2"/>
      </rPr>
      <t xml:space="preserve"> for both</t>
    </r>
  </si>
  <si>
    <t>as much as 76% to 150% when considering spousal benefits  and considerably</t>
  </si>
  <si>
    <t>more of your NET Social Security Income considering Medicare deductions.</t>
  </si>
  <si>
    <t xml:space="preserve">  We can get 76% more?</t>
  </si>
  <si>
    <r>
      <t xml:space="preserve">If Case 2 is different than Case 1, a </t>
    </r>
    <r>
      <rPr>
        <b/>
        <sz val="11"/>
        <color indexed="10"/>
        <rFont val="Calibri"/>
        <family val="2"/>
      </rPr>
      <t>RED BAR</t>
    </r>
    <r>
      <rPr>
        <sz val="11"/>
        <color theme="1"/>
        <rFont val="Calibri"/>
        <family val="2"/>
      </rPr>
      <t xml:space="preserve"> will appear adjacent to those entries.</t>
    </r>
  </si>
  <si>
    <t>The program helps optimize Social Security for those not already collecting any benefits as well as if one spouse is</t>
  </si>
  <si>
    <t>Cases  1 and 2 show:</t>
  </si>
  <si>
    <t>of Hi drawing a spousal benefit during the suspension period.  Added File a Restricted Application too.</t>
  </si>
  <si>
    <t>minimum savings in Cases 1 and 2 to reduce conservatism for survivor after the first death.</t>
  </si>
  <si>
    <t>already collecting benefits.  In the latter case, two options within the Social Security current rules that offer some flexibility:</t>
  </si>
  <si>
    <t>11/2/12.  Added Optional Planner tab to help people determine how much they can afford to spend in</t>
  </si>
  <si>
    <t>real-world conditions of inflation, returns and inflation that may be higher for retirees.  Also refined</t>
  </si>
  <si>
    <r>
      <t xml:space="preserve">compare different strategies including </t>
    </r>
    <r>
      <rPr>
        <b/>
        <sz val="11"/>
        <color indexed="8"/>
        <rFont val="Calibri"/>
        <family val="2"/>
      </rPr>
      <t>different ages to start, File &amp; Suspend,</t>
    </r>
  </si>
  <si>
    <r>
      <rPr>
        <b/>
        <sz val="11"/>
        <color indexed="8"/>
        <rFont val="Calibri"/>
        <family val="2"/>
      </rPr>
      <t>just plain Suspend or file Restricted Application</t>
    </r>
    <r>
      <rPr>
        <sz val="11"/>
        <color theme="1"/>
        <rFont val="Calibri"/>
        <family val="2"/>
      </rPr>
      <t>.  We explain these below.</t>
    </r>
  </si>
  <si>
    <t>Users must be over 49 and under 67 to use this program.</t>
  </si>
  <si>
    <t>Minimum Savings to use the alternative strategies.</t>
  </si>
  <si>
    <t>alone or even with a fixed pension without more savings than the minimum.</t>
  </si>
  <si>
    <t>In Cases 1 and 2, Social Security or pensions begin before the retirement age, it is assumed that they</t>
  </si>
  <si>
    <t>are spent, not saved.  In the Optional Case Planner tab, you can choose how much is saved.</t>
  </si>
  <si>
    <t xml:space="preserve">yellow ones. </t>
  </si>
  <si>
    <r>
      <rPr>
        <b/>
        <sz val="11"/>
        <color indexed="8"/>
        <rFont val="Calibri"/>
        <family val="2"/>
      </rPr>
      <t>Social Security is the least expensive longevity insurance you can buy</t>
    </r>
    <r>
      <rPr>
        <sz val="11"/>
        <color theme="1"/>
        <rFont val="Calibri"/>
        <family val="2"/>
      </rPr>
      <t>, so you should try higher death ages to</t>
    </r>
  </si>
  <si>
    <t>low cost much less one that would match the spousal and survivor benefits with inflation-adjustments as well.</t>
  </si>
  <si>
    <t>see what might be best for you.  You cannot buy a commercial annuity with such generous benefits for such a</t>
  </si>
  <si>
    <t>ages are substantially different and neither can benefit from a spousal benefit.  One rule is common</t>
  </si>
  <si>
    <t>however:  Both spouses cannot File &amp; Suspend at the same time.  If you believe you have a better</t>
  </si>
  <si>
    <t>alternative, call the SSA on 1-800-772-1213 and check with a CFP about other concerns.</t>
  </si>
  <si>
    <t>Compare results with the special strategies of File &amp; Suspend, Suspend, and file a Restricted Application.</t>
  </si>
  <si>
    <r>
      <t xml:space="preserve">and withholding. </t>
    </r>
    <r>
      <rPr>
        <b/>
        <sz val="11"/>
        <rFont val="Calibri"/>
        <family val="2"/>
      </rPr>
      <t xml:space="preserve"> Therefore, even a small increase in gross benefits can make a</t>
    </r>
    <r>
      <rPr>
        <b/>
        <sz val="11"/>
        <color indexed="10"/>
        <rFont val="Calibri"/>
        <family val="2"/>
      </rPr>
      <t xml:space="preserve"> large difference in net income</t>
    </r>
    <r>
      <rPr>
        <b/>
        <sz val="11"/>
        <rFont val="Calibri"/>
        <family val="2"/>
      </rPr>
      <t>.</t>
    </r>
  </si>
  <si>
    <t>See how inflation reduces  the values of a fixed payment pension.</t>
  </si>
  <si>
    <t>Fulll-Screen View.  To go to a different tab, click on the tab with your mouse cursor.</t>
  </si>
  <si>
    <t>If you cannot see the tabs, click on the expand icon between Excel's - and X near the top-right of your secreen or use</t>
  </si>
  <si>
    <r>
      <t xml:space="preserve">use File &amp; Suspend or Suspend with this program. </t>
    </r>
    <r>
      <rPr>
        <sz val="11"/>
        <color indexed="10"/>
        <rFont val="Calibri"/>
        <family val="2"/>
      </rPr>
      <t xml:space="preserve"> If single, Hi represents the single person.</t>
    </r>
  </si>
  <si>
    <r>
      <rPr>
        <b/>
        <sz val="11"/>
        <color indexed="10"/>
        <rFont val="Calibri"/>
        <family val="2"/>
      </rPr>
      <t>Hi</t>
    </r>
    <r>
      <rPr>
        <sz val="11"/>
        <color theme="1"/>
        <rFont val="Calibri"/>
        <family val="2"/>
      </rPr>
      <t xml:space="preserve"> is usually the spouse with the larger full-retirement-age (FRA) benefit and the only one that can opt to</t>
    </r>
  </si>
  <si>
    <r>
      <rPr>
        <b/>
        <sz val="11"/>
        <color indexed="10"/>
        <rFont val="Calibri"/>
        <family val="2"/>
      </rPr>
      <t>Lo</t>
    </r>
    <r>
      <rPr>
        <sz val="11"/>
        <color theme="1"/>
        <rFont val="Calibri"/>
        <family val="2"/>
      </rPr>
      <t xml:space="preserve"> represents the other spouse.  You can fill in names for each spouse on the Case 1 and Case 2 tabs.</t>
    </r>
  </si>
  <si>
    <r>
      <rPr>
        <sz val="11"/>
        <color indexed="10"/>
        <rFont val="Calibri"/>
        <family val="2"/>
      </rPr>
      <t>Options.</t>
    </r>
    <r>
      <rPr>
        <sz val="11"/>
        <color theme="1"/>
        <rFont val="Calibri"/>
        <family val="2"/>
      </rPr>
      <t xml:space="preserve">  There are four different Social Security Options:</t>
    </r>
  </si>
  <si>
    <r>
      <rPr>
        <b/>
        <sz val="11"/>
        <color indexed="10"/>
        <rFont val="Calibri"/>
        <family val="2"/>
      </rPr>
      <t>Normal</t>
    </r>
    <r>
      <rPr>
        <sz val="11"/>
        <color theme="1"/>
        <rFont val="Calibri"/>
        <family val="2"/>
      </rPr>
      <t xml:space="preserve"> is what most people use.  The major factors here are the ages to start Social Security benefits.</t>
    </r>
  </si>
  <si>
    <r>
      <rPr>
        <b/>
        <sz val="11"/>
        <color indexed="10"/>
        <rFont val="Calibri"/>
        <family val="2"/>
      </rPr>
      <t>File &amp; Suspend</t>
    </r>
    <r>
      <rPr>
        <sz val="11"/>
        <color theme="1"/>
        <rFont val="Calibri"/>
        <family val="2"/>
      </rPr>
      <t xml:space="preserve"> is an option that defers the start of HI's  Social Security up to age 70, but allows Lo to</t>
    </r>
  </si>
  <si>
    <r>
      <rPr>
        <b/>
        <sz val="11"/>
        <color indexed="10"/>
        <rFont val="Calibri"/>
        <family val="2"/>
      </rPr>
      <t>Suspend</t>
    </r>
    <r>
      <rPr>
        <sz val="11"/>
        <color theme="1"/>
        <rFont val="Calibri"/>
        <family val="2"/>
      </rPr>
      <t xml:space="preserve"> is when Hi has already started Social Security and can elect at HI's full-retirement-age to</t>
    </r>
  </si>
  <si>
    <r>
      <rPr>
        <b/>
        <sz val="11"/>
        <color indexed="10"/>
        <rFont val="Calibri"/>
        <family val="2"/>
      </rPr>
      <t>File a Restricted Application</t>
    </r>
    <r>
      <rPr>
        <sz val="11"/>
        <rFont val="Calibri"/>
        <family val="2"/>
      </rPr>
      <t xml:space="preserve"> for Hi together with</t>
    </r>
    <r>
      <rPr>
        <sz val="11"/>
        <color indexed="10"/>
        <rFont val="Calibri"/>
        <family val="2"/>
      </rPr>
      <t xml:space="preserve"> File &amp; Suspend</t>
    </r>
    <r>
      <rPr>
        <sz val="11"/>
        <color theme="1"/>
        <rFont val="Calibri"/>
        <family val="2"/>
      </rPr>
      <t xml:space="preserve"> for Lo can be used after each has</t>
    </r>
  </si>
  <si>
    <r>
      <t xml:space="preserve">You will need to know both your and your spouse's </t>
    </r>
    <r>
      <rPr>
        <b/>
        <sz val="11"/>
        <color indexed="10"/>
        <rFont val="Calibri"/>
        <family val="2"/>
      </rPr>
      <t>Full-Retirement-Age Social Security amounts</t>
    </r>
    <r>
      <rPr>
        <sz val="11"/>
        <color theme="1"/>
        <rFont val="Calibri"/>
        <family val="2"/>
      </rPr>
      <t>.  These are</t>
    </r>
  </si>
  <si>
    <r>
      <rPr>
        <b/>
        <sz val="11"/>
        <color indexed="10"/>
        <rFont val="Calibri"/>
        <family val="2"/>
      </rPr>
      <t>Death Values</t>
    </r>
    <r>
      <rPr>
        <sz val="11"/>
        <color theme="1"/>
        <rFont val="Calibri"/>
        <family val="2"/>
      </rPr>
      <t>:  This program accounts for the value of Social Security and pensions when one spouse dies</t>
    </r>
  </si>
  <si>
    <r>
      <rPr>
        <b/>
        <sz val="11"/>
        <color indexed="10"/>
        <rFont val="Calibri"/>
        <family val="2"/>
      </rPr>
      <t>Cost/Benefit Analysis</t>
    </r>
    <r>
      <rPr>
        <sz val="11"/>
        <color theme="1"/>
        <rFont val="Calibri"/>
        <family val="2"/>
      </rPr>
      <t>:  You can use the results displayed in the yellow cells to determine which alternative</t>
    </r>
  </si>
  <si>
    <t>better for you, enter the pension in Case 2 and use the Optional Case Planner for the lump sum.  Or use</t>
  </si>
  <si>
    <t>of this program.</t>
  </si>
  <si>
    <r>
      <t xml:space="preserve">one of the retirement planners on </t>
    </r>
    <r>
      <rPr>
        <sz val="11"/>
        <color indexed="8"/>
        <rFont val="Calibri"/>
        <family val="2"/>
      </rPr>
      <t>www.analyzenow.com but you will not get the Social Security detail</t>
    </r>
  </si>
  <si>
    <t>Lump sum or pension choice.</t>
  </si>
  <si>
    <r>
      <rPr>
        <sz val="11"/>
        <color indexed="10"/>
        <rFont val="Calibri"/>
        <family val="2"/>
      </rPr>
      <t>Other Social Security options:</t>
    </r>
    <r>
      <rPr>
        <sz val="11"/>
        <color theme="1"/>
        <rFont val="Calibri"/>
        <family val="2"/>
      </rPr>
      <t xml:space="preserve">  There are other File &amp; Suspend options that may benefit spouses when</t>
    </r>
  </si>
  <si>
    <r>
      <rPr>
        <b/>
        <sz val="11"/>
        <color indexed="10"/>
        <rFont val="Calibri"/>
        <family val="2"/>
      </rPr>
      <t>Caution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The government can change the rules at any time, so it is wise to review your intentions</t>
    </r>
  </si>
  <si>
    <t>7-15-14.  No change from the previous versions except to add more explanation for the charge needed</t>
  </si>
  <si>
    <t>to use the Optional Case.</t>
  </si>
  <si>
    <t>This is one of a number of free programs from www.analyzenow.com which have been developed to</t>
  </si>
  <si>
    <t>assist do-it-yourself planners arrive at better retirement plans.</t>
  </si>
  <si>
    <t>Max SS+Pens.</t>
  </si>
  <si>
    <t xml:space="preserve">Hi dies at </t>
  </si>
  <si>
    <t>Lo dies at</t>
  </si>
  <si>
    <t>Hi'age then</t>
  </si>
  <si>
    <t>Difference</t>
  </si>
  <si>
    <t>Hi's age at first deat</t>
  </si>
  <si>
    <t>Total Income</t>
  </si>
  <si>
    <t>Annual initial survivor's income in today's $</t>
  </si>
  <si>
    <r>
      <t xml:space="preserve">There are </t>
    </r>
    <r>
      <rPr>
        <sz val="11"/>
        <color indexed="10"/>
        <rFont val="Calibri"/>
        <family val="2"/>
      </rPr>
      <t>three tabs</t>
    </r>
    <r>
      <rPr>
        <sz val="11"/>
        <color theme="1"/>
        <rFont val="Calibri"/>
        <family val="2"/>
      </rPr>
      <t xml:space="preserve"> on the bottom of your screen.</t>
    </r>
  </si>
  <si>
    <t>8-30-14.  Eliminated errors from certain combinations of ages.  Modified graphics.  Removed Optional</t>
  </si>
  <si>
    <t>Planner tab because it was too weak a planner and lacked the inputs of the Free and Pre &amp; Post planners.</t>
  </si>
  <si>
    <t>Total retirement Social Security and Pension Income</t>
  </si>
  <si>
    <t>&lt;Depends on death ages</t>
  </si>
  <si>
    <t>Total before-tax income over retirement</t>
  </si>
  <si>
    <t>Another financial program from www.analyzenow.com</t>
  </si>
  <si>
    <t xml:space="preserve">Please Note:  Near the end of 2015, the Congress eliminated "suspend," </t>
  </si>
  <si>
    <t>illustrates the benefits of delaying Social Security several years.</t>
  </si>
  <si>
    <t>"file and suspend," and "File a Restricted Application." Beginning in 2016,</t>
  </si>
  <si>
    <t>this program now only applies if you select the "Normal" mode which</t>
  </si>
  <si>
    <t>There is a change in law:  File &amp; Suspend options end on April 29, 2016.</t>
  </si>
  <si>
    <t>full-retirement-age before Jan. 1, 2020.  Full-retirement-age is between</t>
  </si>
  <si>
    <t>66 and 67 depending on birth date.  See www.ssa.gov.</t>
  </si>
  <si>
    <t xml:space="preserve">File a Restricted Application is grandfathered if both spouses will reach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</si>
</sst>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n b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164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3" fontId="0" fillId="0" borderId="0" xfId="42" applyFont="1" applyFill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22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 horizontal="right"/>
    </xf>
    <xf numFmtId="164" fontId="0" fillId="6" borderId="22" xfId="0" applyNumberForma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165" fontId="0" fillId="34" borderId="22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9" fontId="0" fillId="6" borderId="22" xfId="58" applyFont="1" applyFill="1" applyBorder="1" applyAlignment="1" applyProtection="1">
      <alignment horizontal="center"/>
      <protection locked="0"/>
    </xf>
    <xf numFmtId="9" fontId="0" fillId="6" borderId="22" xfId="0" applyNumberForma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9" fontId="0" fillId="6" borderId="22" xfId="58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34" borderId="22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3" fontId="0" fillId="6" borderId="22" xfId="0" applyNumberForma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48" fillId="35" borderId="0" xfId="0" applyFont="1" applyFill="1" applyAlignment="1" applyProtection="1">
      <alignment horizontal="center"/>
      <protection hidden="1"/>
    </xf>
    <xf numFmtId="0" fontId="48" fillId="35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164" fontId="48" fillId="0" borderId="21" xfId="0" applyNumberFormat="1" applyFont="1" applyBorder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43" fontId="48" fillId="0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65" fontId="48" fillId="0" borderId="0" xfId="42" applyNumberFormat="1" applyFont="1" applyFill="1" applyAlignment="1" applyProtection="1">
      <alignment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43" fontId="48" fillId="0" borderId="0" xfId="42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hidden="1"/>
    </xf>
    <xf numFmtId="0" fontId="0" fillId="33" borderId="0" xfId="0" applyFill="1" applyAlignment="1">
      <alignment horizontal="right"/>
    </xf>
    <xf numFmtId="0" fontId="3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 horizontal="right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166" fontId="0" fillId="6" borderId="21" xfId="44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 horizontal="left"/>
      <protection locked="0"/>
    </xf>
    <xf numFmtId="166" fontId="48" fillId="0" borderId="0" xfId="0" applyNumberFormat="1" applyFont="1" applyAlignment="1">
      <alignment/>
    </xf>
    <xf numFmtId="0" fontId="48" fillId="0" borderId="23" xfId="0" applyFont="1" applyBorder="1" applyAlignment="1">
      <alignment/>
    </xf>
    <xf numFmtId="0" fontId="0" fillId="0" borderId="23" xfId="0" applyBorder="1" applyAlignment="1">
      <alignment/>
    </xf>
    <xf numFmtId="166" fontId="0" fillId="6" borderId="22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48" fillId="33" borderId="19" xfId="0" applyFont="1" applyFill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/>
    </xf>
    <xf numFmtId="165" fontId="48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65" fontId="48" fillId="33" borderId="0" xfId="0" applyNumberFormat="1" applyFont="1" applyFill="1" applyAlignment="1">
      <alignment/>
    </xf>
    <xf numFmtId="166" fontId="48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64" fontId="0" fillId="0" borderId="0" xfId="58" applyNumberFormat="1" applyFont="1" applyAlignment="1">
      <alignment/>
    </xf>
    <xf numFmtId="0" fontId="48" fillId="35" borderId="0" xfId="0" applyFont="1" applyFill="1" applyAlignment="1">
      <alignment/>
    </xf>
    <xf numFmtId="166" fontId="48" fillId="35" borderId="0" xfId="0" applyNumberFormat="1" applyFont="1" applyFill="1" applyAlignment="1">
      <alignment/>
    </xf>
    <xf numFmtId="164" fontId="48" fillId="35" borderId="0" xfId="0" applyNumberFormat="1" applyFont="1" applyFill="1" applyAlignment="1">
      <alignment/>
    </xf>
    <xf numFmtId="0" fontId="48" fillId="0" borderId="23" xfId="0" applyFont="1" applyBorder="1" applyAlignment="1">
      <alignment horizontal="right"/>
    </xf>
    <xf numFmtId="165" fontId="48" fillId="0" borderId="0" xfId="0" applyNumberFormat="1" applyFont="1" applyFill="1" applyAlignment="1">
      <alignment/>
    </xf>
    <xf numFmtId="166" fontId="48" fillId="0" borderId="0" xfId="0" applyNumberFormat="1" applyFont="1" applyFill="1" applyAlignment="1">
      <alignment/>
    </xf>
    <xf numFmtId="165" fontId="48" fillId="0" borderId="22" xfId="42" applyNumberFormat="1" applyFont="1" applyFill="1" applyBorder="1" applyAlignment="1" applyProtection="1">
      <alignment/>
      <protection hidden="1"/>
    </xf>
    <xf numFmtId="165" fontId="48" fillId="0" borderId="22" xfId="0" applyNumberFormat="1" applyFont="1" applyFill="1" applyBorder="1" applyAlignment="1" applyProtection="1">
      <alignment/>
      <protection hidden="1"/>
    </xf>
    <xf numFmtId="166" fontId="48" fillId="0" borderId="22" xfId="52" applyNumberFormat="1" applyFont="1" applyBorder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166" fontId="48" fillId="0" borderId="22" xfId="52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8" fillId="0" borderId="21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0" fontId="48" fillId="36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48" fillId="0" borderId="0" xfId="42" applyNumberFormat="1" applyFon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65" fontId="48" fillId="0" borderId="0" xfId="0" applyNumberFormat="1" applyFont="1" applyFill="1" applyBorder="1" applyAlignment="1" applyProtection="1">
      <alignment/>
      <protection hidden="1"/>
    </xf>
    <xf numFmtId="0" fontId="32" fillId="36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6" fontId="48" fillId="36" borderId="0" xfId="0" applyNumberFormat="1" applyFont="1" applyFill="1" applyAlignment="1">
      <alignment/>
    </xf>
    <xf numFmtId="165" fontId="0" fillId="37" borderId="0" xfId="42" applyNumberFormat="1" applyFont="1" applyFill="1" applyAlignment="1">
      <alignment/>
    </xf>
    <xf numFmtId="1" fontId="48" fillId="33" borderId="0" xfId="0" applyNumberFormat="1" applyFont="1" applyFill="1" applyAlignment="1">
      <alignment/>
    </xf>
    <xf numFmtId="3" fontId="9" fillId="34" borderId="22" xfId="0" applyNumberFormat="1" applyFont="1" applyFill="1" applyBorder="1" applyAlignment="1" applyProtection="1">
      <alignment/>
      <protection hidden="1"/>
    </xf>
    <xf numFmtId="3" fontId="0" fillId="34" borderId="22" xfId="0" applyNumberFormat="1" applyFill="1" applyBorder="1" applyAlignment="1">
      <alignment/>
    </xf>
    <xf numFmtId="0" fontId="47" fillId="0" borderId="0" xfId="0" applyFont="1" applyAlignment="1">
      <alignment horizontal="left"/>
    </xf>
    <xf numFmtId="165" fontId="32" fillId="36" borderId="0" xfId="0" applyNumberFormat="1" applyFont="1" applyFill="1" applyAlignment="1">
      <alignment/>
    </xf>
    <xf numFmtId="165" fontId="32" fillId="0" borderId="0" xfId="0" applyNumberFormat="1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65" fontId="32" fillId="0" borderId="0" xfId="0" applyNumberFormat="1" applyFont="1" applyAlignment="1">
      <alignment/>
    </xf>
    <xf numFmtId="0" fontId="47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1 Income'!$M$12</c:f>
        </c:strRef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275"/>
          <c:y val="0.133"/>
          <c:w val="0.73775"/>
          <c:h val="0.8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'Case 1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Income'!$F$108:$F$159</c:f>
              <c:numCache/>
            </c:numRef>
          </c:yVal>
          <c:smooth val="0"/>
        </c:ser>
        <c:ser>
          <c:idx val="2"/>
          <c:order val="1"/>
          <c:tx>
            <c:strRef>
              <c:f>'Case 1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Income'!$G$108:$G$159</c:f>
              <c:numCache/>
            </c:numRef>
          </c:yVal>
          <c:smooth val="0"/>
        </c:ser>
        <c:ser>
          <c:idx val="3"/>
          <c:order val="2"/>
          <c:tx>
            <c:strRef>
              <c:f>'Case 1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1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Income'!$I$108:$I$159</c:f>
              <c:numCache/>
            </c:numRef>
          </c:yVal>
          <c:smooth val="0"/>
        </c:ser>
        <c:ser>
          <c:idx val="5"/>
          <c:order val="4"/>
          <c:tx>
            <c:v>Total Income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Income'!$J$108:$J$159</c:f>
              <c:numCache/>
            </c:numRef>
          </c:yVal>
          <c:smooth val="0"/>
        </c:ser>
        <c:axId val="3808267"/>
        <c:axId val="34274404"/>
      </c:scatterChart>
      <c:valAx>
        <c:axId val="3808267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 val="autoZero"/>
        <c:crossBetween val="midCat"/>
        <c:dispUnits/>
      </c:val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Income
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2375"/>
          <c:w val="0.18625"/>
          <c:h val="0.5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2 Income'!$M$12</c:f>
        </c:strRef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36"/>
          <c:w val="0.81625"/>
          <c:h val="0.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'Case 2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Income'!$F$108:$F$159</c:f>
              <c:numCache/>
            </c:numRef>
          </c:yVal>
          <c:smooth val="0"/>
        </c:ser>
        <c:ser>
          <c:idx val="3"/>
          <c:order val="1"/>
          <c:tx>
            <c:strRef>
              <c:f>'Case 2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Income'!$G$108:$G$159</c:f>
              <c:numCache/>
            </c:numRef>
          </c:yVal>
          <c:smooth val="0"/>
        </c:ser>
        <c:ser>
          <c:idx val="5"/>
          <c:order val="2"/>
          <c:tx>
            <c:strRef>
              <c:f>'Case 2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2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Income'!$I$108:$I$159</c:f>
              <c:numCache/>
            </c:numRef>
          </c:yVal>
          <c:smooth val="0"/>
        </c:ser>
        <c:ser>
          <c:idx val="6"/>
          <c:order val="4"/>
          <c:tx>
            <c:v>Case 2 Total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Income'!$J$108:$J$159</c:f>
              <c:numCache/>
            </c:numRef>
          </c:yVal>
          <c:smooth val="0"/>
        </c:ser>
        <c:ser>
          <c:idx val="0"/>
          <c:order val="5"/>
          <c:tx>
            <c:v>Case 1 Total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>
                <c:ptCount val="5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'Case 1 Income'!$J$108:$J$159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31605</c:v>
                </c:pt>
                <c:pt idx="3">
                  <c:v>31605</c:v>
                </c:pt>
                <c:pt idx="4">
                  <c:v>31605</c:v>
                </c:pt>
                <c:pt idx="5">
                  <c:v>31605</c:v>
                </c:pt>
                <c:pt idx="6">
                  <c:v>31605</c:v>
                </c:pt>
                <c:pt idx="7">
                  <c:v>31605</c:v>
                </c:pt>
                <c:pt idx="8">
                  <c:v>31605</c:v>
                </c:pt>
                <c:pt idx="9">
                  <c:v>31605</c:v>
                </c:pt>
                <c:pt idx="10">
                  <c:v>31605</c:v>
                </c:pt>
                <c:pt idx="11">
                  <c:v>31605</c:v>
                </c:pt>
                <c:pt idx="12">
                  <c:v>31605</c:v>
                </c:pt>
                <c:pt idx="13">
                  <c:v>31605</c:v>
                </c:pt>
                <c:pt idx="14">
                  <c:v>31605</c:v>
                </c:pt>
                <c:pt idx="15">
                  <c:v>31605</c:v>
                </c:pt>
                <c:pt idx="16">
                  <c:v>31605</c:v>
                </c:pt>
                <c:pt idx="17">
                  <c:v>31605</c:v>
                </c:pt>
                <c:pt idx="18">
                  <c:v>31605</c:v>
                </c:pt>
                <c:pt idx="19">
                  <c:v>31605</c:v>
                </c:pt>
                <c:pt idx="20">
                  <c:v>22050</c:v>
                </c:pt>
                <c:pt idx="21">
                  <c:v>22050</c:v>
                </c:pt>
                <c:pt idx="22">
                  <c:v>22050</c:v>
                </c:pt>
                <c:pt idx="23">
                  <c:v>22050</c:v>
                </c:pt>
                <c:pt idx="24">
                  <c:v>22050</c:v>
                </c:pt>
                <c:pt idx="25">
                  <c:v>22050</c:v>
                </c:pt>
                <c:pt idx="26">
                  <c:v>22050</c:v>
                </c:pt>
                <c:pt idx="27">
                  <c:v>22050</c:v>
                </c:pt>
                <c:pt idx="28">
                  <c:v>22050</c:v>
                </c:pt>
                <c:pt idx="29">
                  <c:v>22050</c:v>
                </c:pt>
                <c:pt idx="30">
                  <c:v>22050</c:v>
                </c:pt>
                <c:pt idx="31">
                  <c:v>22050</c:v>
                </c:pt>
                <c:pt idx="32">
                  <c:v>22050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0034181"/>
        <c:axId val="24763310"/>
      </c:scatterChart>
      <c:valAx>
        <c:axId val="40034181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3310"/>
        <c:crosses val="autoZero"/>
        <c:crossBetween val="midCat"/>
        <c:dispUnits/>
      </c:valAx>
      <c:valAx>
        <c:axId val="247633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26"/>
          <c:w val="0.190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171450</xdr:rowOff>
    </xdr:from>
    <xdr:to>
      <xdr:col>3</xdr:col>
      <xdr:colOff>438150</xdr:colOff>
      <xdr:row>19</xdr:row>
      <xdr:rowOff>47625</xdr:rowOff>
    </xdr:to>
    <xdr:pic>
      <xdr:nvPicPr>
        <xdr:cNvPr id="1" name="Picture 2" descr="Analyze Now at work 5-20-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714625"/>
          <a:ext cx="18669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19050</xdr:rowOff>
    </xdr:from>
    <xdr:to>
      <xdr:col>9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09600" y="6010275"/>
        <a:ext cx="5676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47625</xdr:rowOff>
    </xdr:from>
    <xdr:to>
      <xdr:col>9</xdr:col>
      <xdr:colOff>19050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647700" y="6000750"/>
        <a:ext cx="5734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  <col min="10" max="10" width="17.28125" style="0" customWidth="1"/>
    <col min="11" max="11" width="10.8515625" style="0" customWidth="1"/>
  </cols>
  <sheetData>
    <row r="1" ht="14.25">
      <c r="A1" s="110">
        <v>42486</v>
      </c>
    </row>
    <row r="2" ht="23.25">
      <c r="B2" s="30" t="s">
        <v>92</v>
      </c>
    </row>
    <row r="3" spans="2:6" ht="23.25">
      <c r="B3" s="30"/>
      <c r="F3" s="12" t="s">
        <v>302</v>
      </c>
    </row>
    <row r="4" spans="2:6" ht="23.25">
      <c r="B4" s="30"/>
      <c r="F4" s="12"/>
    </row>
    <row r="5" spans="2:9" ht="23.25">
      <c r="B5" s="30"/>
      <c r="C5" s="190" t="s">
        <v>307</v>
      </c>
      <c r="D5" s="129"/>
      <c r="E5" s="129"/>
      <c r="F5" s="131"/>
      <c r="G5" s="129"/>
      <c r="H5" s="129"/>
      <c r="I5" s="129"/>
    </row>
    <row r="6" spans="2:9" ht="23.25">
      <c r="B6" s="30"/>
      <c r="C6" s="190" t="s">
        <v>310</v>
      </c>
      <c r="D6" s="129"/>
      <c r="E6" s="129"/>
      <c r="F6" s="131"/>
      <c r="G6" s="129"/>
      <c r="H6" s="129"/>
      <c r="I6" s="129"/>
    </row>
    <row r="7" spans="2:9" ht="23.25">
      <c r="B7" s="30"/>
      <c r="C7" s="190" t="s">
        <v>308</v>
      </c>
      <c r="D7" s="129"/>
      <c r="E7" s="129"/>
      <c r="F7" s="131"/>
      <c r="G7" s="129"/>
      <c r="H7" s="129"/>
      <c r="I7" s="129"/>
    </row>
    <row r="8" spans="2:9" ht="23.25">
      <c r="B8" s="30"/>
      <c r="C8" s="190" t="s">
        <v>309</v>
      </c>
      <c r="D8" s="129"/>
      <c r="E8" s="129"/>
      <c r="F8" s="131"/>
      <c r="G8" s="129"/>
      <c r="H8" s="129"/>
      <c r="I8" s="129"/>
    </row>
    <row r="9" spans="2:6" ht="23.25">
      <c r="B9" s="30"/>
      <c r="F9" s="12"/>
    </row>
    <row r="10" ht="15" customHeight="1">
      <c r="B10" s="30"/>
    </row>
    <row r="11" ht="15" customHeight="1">
      <c r="E11" t="s">
        <v>85</v>
      </c>
    </row>
    <row r="12" ht="15" customHeight="1">
      <c r="E12" t="s">
        <v>86</v>
      </c>
    </row>
    <row r="13" ht="15" customHeight="1"/>
    <row r="14" ht="15" customHeight="1">
      <c r="E14" s="44" t="s">
        <v>87</v>
      </c>
    </row>
    <row r="15" ht="15" customHeight="1">
      <c r="E15" s="44" t="s">
        <v>90</v>
      </c>
    </row>
    <row r="16" ht="15" customHeight="1">
      <c r="E16" s="44" t="s">
        <v>248</v>
      </c>
    </row>
    <row r="17" spans="5:12" ht="15" customHeight="1">
      <c r="E17" s="44" t="s">
        <v>249</v>
      </c>
      <c r="L17" s="58"/>
    </row>
    <row r="18" spans="2:12" ht="15" customHeight="1">
      <c r="B18" s="58"/>
      <c r="C18" s="28"/>
      <c r="I18" s="30"/>
      <c r="L18" s="58"/>
    </row>
    <row r="19" spans="2:9" ht="15" customHeight="1">
      <c r="B19" s="58"/>
      <c r="C19" s="28"/>
      <c r="E19" s="171" t="s">
        <v>91</v>
      </c>
      <c r="I19" s="30"/>
    </row>
    <row r="20" spans="2:9" ht="15" customHeight="1">
      <c r="B20" s="149" t="s">
        <v>239</v>
      </c>
      <c r="C20" s="28"/>
      <c r="E20" s="171" t="s">
        <v>237</v>
      </c>
      <c r="I20" s="58"/>
    </row>
    <row r="21" spans="3:9" ht="15" customHeight="1">
      <c r="C21" s="28"/>
      <c r="E21" s="171" t="s">
        <v>238</v>
      </c>
      <c r="I21" s="58"/>
    </row>
    <row r="22" spans="2:9" ht="15" customHeight="1">
      <c r="B22" s="58"/>
      <c r="C22" s="28"/>
      <c r="E22" s="28"/>
      <c r="I22" s="58"/>
    </row>
    <row r="23" spans="2:9" ht="15" customHeight="1">
      <c r="B23" s="58" t="s">
        <v>119</v>
      </c>
      <c r="C23" s="28"/>
      <c r="I23" s="58"/>
    </row>
    <row r="24" spans="2:9" ht="15" customHeight="1">
      <c r="B24" s="58" t="s">
        <v>111</v>
      </c>
      <c r="C24" s="28"/>
      <c r="D24" s="28"/>
      <c r="E24" s="28"/>
      <c r="I24" s="58"/>
    </row>
    <row r="25" spans="2:4" ht="15" customHeight="1">
      <c r="B25" s="58" t="s">
        <v>112</v>
      </c>
      <c r="C25" s="28"/>
      <c r="D25" s="28"/>
    </row>
    <row r="26" spans="2:3" ht="15" customHeight="1">
      <c r="B26" s="58"/>
      <c r="C26" s="28"/>
    </row>
    <row r="27" spans="2:3" ht="15" customHeight="1">
      <c r="B27" s="58" t="s">
        <v>141</v>
      </c>
      <c r="C27" s="28"/>
    </row>
    <row r="28" spans="2:3" ht="15" customHeight="1">
      <c r="B28" s="171" t="s">
        <v>250</v>
      </c>
      <c r="C28" s="28"/>
    </row>
    <row r="29" spans="2:3" ht="15" customHeight="1">
      <c r="B29" s="58"/>
      <c r="C29" s="28"/>
    </row>
    <row r="30" spans="2:3" ht="15" customHeight="1">
      <c r="B30" t="s">
        <v>233</v>
      </c>
      <c r="C30" s="28"/>
    </row>
    <row r="31" spans="2:3" ht="15" customHeight="1">
      <c r="B31" t="s">
        <v>234</v>
      </c>
      <c r="C31" s="28"/>
    </row>
    <row r="32" spans="2:3" ht="15" customHeight="1">
      <c r="B32" t="s">
        <v>236</v>
      </c>
      <c r="C32" s="28"/>
    </row>
    <row r="33" spans="2:3" ht="15" customHeight="1">
      <c r="B33" t="s">
        <v>235</v>
      </c>
      <c r="C33" s="28"/>
    </row>
    <row r="34" ht="15" customHeight="1">
      <c r="C34" s="28"/>
    </row>
    <row r="35" spans="2:3" ht="15" customHeight="1">
      <c r="B35" t="s">
        <v>113</v>
      </c>
      <c r="C35" s="28"/>
    </row>
    <row r="36" spans="2:3" ht="15" customHeight="1">
      <c r="B36" t="s">
        <v>114</v>
      </c>
      <c r="C36" s="28"/>
    </row>
    <row r="37" spans="2:3" ht="15" customHeight="1">
      <c r="B37" s="58"/>
      <c r="C37" s="58"/>
    </row>
    <row r="38" spans="2:3" ht="15" customHeight="1">
      <c r="B38" s="58" t="s">
        <v>93</v>
      </c>
      <c r="C38" s="58"/>
    </row>
    <row r="39" spans="2:3" ht="15" customHeight="1">
      <c r="B39" s="58" t="s">
        <v>88</v>
      </c>
      <c r="C39" s="58"/>
    </row>
    <row r="40" spans="2:3" ht="15" customHeight="1">
      <c r="B40" s="58" t="s">
        <v>263</v>
      </c>
      <c r="C40" s="58"/>
    </row>
    <row r="41" spans="2:3" ht="15" customHeight="1">
      <c r="B41" s="58"/>
      <c r="C41" s="58"/>
    </row>
    <row r="42" spans="2:3" ht="15" customHeight="1">
      <c r="B42" s="58" t="s">
        <v>241</v>
      </c>
      <c r="C42" s="58"/>
    </row>
    <row r="43" spans="2:3" ht="15" customHeight="1">
      <c r="B43" s="64" t="s">
        <v>245</v>
      </c>
      <c r="C43" s="58"/>
    </row>
    <row r="44" ht="15" customHeight="1">
      <c r="B44" s="58"/>
    </row>
    <row r="45" spans="2:3" ht="15" customHeight="1">
      <c r="B45" s="58"/>
      <c r="C45" s="64" t="s">
        <v>101</v>
      </c>
    </row>
    <row r="46" spans="2:3" ht="15" customHeight="1">
      <c r="B46" s="58"/>
      <c r="C46" t="s">
        <v>94</v>
      </c>
    </row>
    <row r="47" spans="2:3" ht="15" customHeight="1">
      <c r="B47" s="58"/>
      <c r="C47" s="58" t="s">
        <v>95</v>
      </c>
    </row>
    <row r="48" ht="15" customHeight="1">
      <c r="B48" s="58"/>
    </row>
    <row r="49" spans="2:3" ht="15" customHeight="1">
      <c r="B49" s="58"/>
      <c r="C49" s="64" t="s">
        <v>100</v>
      </c>
    </row>
    <row r="50" spans="2:3" ht="15" customHeight="1">
      <c r="B50" s="58"/>
      <c r="C50" s="58" t="s">
        <v>96</v>
      </c>
    </row>
    <row r="51" ht="15" customHeight="1">
      <c r="C51" s="58" t="s">
        <v>97</v>
      </c>
    </row>
    <row r="52" ht="15" customHeight="1">
      <c r="C52" s="58" t="s">
        <v>98</v>
      </c>
    </row>
    <row r="53" ht="15" customHeight="1">
      <c r="C53" s="58" t="s">
        <v>99</v>
      </c>
    </row>
    <row r="54" ht="15" customHeight="1">
      <c r="C54" s="58" t="s">
        <v>195</v>
      </c>
    </row>
    <row r="55" ht="15" customHeight="1"/>
    <row r="56" ht="15" customHeight="1">
      <c r="B56" t="s">
        <v>73</v>
      </c>
    </row>
    <row r="57" ht="15" customHeight="1"/>
    <row r="58" ht="15" customHeight="1">
      <c r="C58" t="s">
        <v>71</v>
      </c>
    </row>
    <row r="59" ht="15" customHeight="1">
      <c r="C59" t="s">
        <v>72</v>
      </c>
    </row>
    <row r="60" ht="15" customHeight="1">
      <c r="C60" t="s">
        <v>262</v>
      </c>
    </row>
    <row r="61" ht="15" customHeight="1">
      <c r="C61" t="s">
        <v>89</v>
      </c>
    </row>
    <row r="62" ht="15" customHeight="1">
      <c r="C62" t="s">
        <v>264</v>
      </c>
    </row>
    <row r="63" ht="15" customHeight="1">
      <c r="C63" s="58" t="s">
        <v>162</v>
      </c>
    </row>
    <row r="64" ht="15" customHeight="1">
      <c r="C64" s="58" t="s">
        <v>198</v>
      </c>
    </row>
    <row r="66" ht="14.25">
      <c r="B66" t="s">
        <v>296</v>
      </c>
    </row>
    <row r="68" spans="2:3" ht="14.25">
      <c r="B68">
        <v>1</v>
      </c>
      <c r="C68" t="s">
        <v>31</v>
      </c>
    </row>
    <row r="69" spans="2:3" ht="14.25">
      <c r="B69">
        <v>2</v>
      </c>
      <c r="C69" t="s">
        <v>32</v>
      </c>
    </row>
    <row r="70" spans="2:3" ht="14.25">
      <c r="B70">
        <v>3</v>
      </c>
      <c r="C70" t="s">
        <v>33</v>
      </c>
    </row>
    <row r="72" ht="14.25">
      <c r="B72" t="s">
        <v>266</v>
      </c>
    </row>
    <row r="73" ht="14.25">
      <c r="B73" t="s">
        <v>265</v>
      </c>
    </row>
    <row r="75" ht="14.25">
      <c r="B75" t="s">
        <v>242</v>
      </c>
    </row>
    <row r="77" ht="14.25">
      <c r="C77" t="s">
        <v>40</v>
      </c>
    </row>
    <row r="78" ht="14.25">
      <c r="C78" t="s">
        <v>41</v>
      </c>
    </row>
    <row r="80" ht="14.25">
      <c r="B80" t="s">
        <v>34</v>
      </c>
    </row>
    <row r="82" ht="14.25">
      <c r="C82" s="28" t="s">
        <v>83</v>
      </c>
    </row>
    <row r="83" ht="14.25">
      <c r="C83" t="s">
        <v>163</v>
      </c>
    </row>
    <row r="84" ht="14.25">
      <c r="C84" s="28" t="s">
        <v>164</v>
      </c>
    </row>
    <row r="85" ht="14.25">
      <c r="C85" s="28" t="s">
        <v>165</v>
      </c>
    </row>
    <row r="87" ht="14.25">
      <c r="B87" t="s">
        <v>268</v>
      </c>
    </row>
    <row r="88" ht="14.25">
      <c r="B88" t="s">
        <v>267</v>
      </c>
    </row>
    <row r="89" ht="14.25">
      <c r="B89" t="s">
        <v>269</v>
      </c>
    </row>
    <row r="91" ht="14.25">
      <c r="B91" t="s">
        <v>270</v>
      </c>
    </row>
    <row r="93" spans="2:3" ht="14.25">
      <c r="B93">
        <v>1</v>
      </c>
      <c r="C93" t="s">
        <v>271</v>
      </c>
    </row>
    <row r="94" spans="2:3" ht="14.25">
      <c r="B94">
        <v>2</v>
      </c>
      <c r="C94" t="s">
        <v>272</v>
      </c>
    </row>
    <row r="95" ht="14.25">
      <c r="C95" t="s">
        <v>211</v>
      </c>
    </row>
    <row r="96" ht="14.25">
      <c r="C96" t="s">
        <v>212</v>
      </c>
    </row>
    <row r="97" ht="14.25">
      <c r="C97" t="s">
        <v>223</v>
      </c>
    </row>
    <row r="99" ht="14.25">
      <c r="C99" t="s">
        <v>214</v>
      </c>
    </row>
    <row r="100" ht="14.25">
      <c r="C100" t="s">
        <v>215</v>
      </c>
    </row>
    <row r="101" ht="14.25">
      <c r="C101" t="s">
        <v>216</v>
      </c>
    </row>
    <row r="103" spans="2:3" ht="14.25">
      <c r="B103">
        <v>3</v>
      </c>
      <c r="C103" t="s">
        <v>273</v>
      </c>
    </row>
    <row r="104" ht="14.25">
      <c r="C104" t="s">
        <v>213</v>
      </c>
    </row>
    <row r="106" spans="2:3" ht="14.25">
      <c r="B106">
        <v>4</v>
      </c>
      <c r="C106" t="s">
        <v>274</v>
      </c>
    </row>
    <row r="107" ht="14.25">
      <c r="C107" t="s">
        <v>220</v>
      </c>
    </row>
    <row r="108" ht="14.25">
      <c r="C108" t="s">
        <v>224</v>
      </c>
    </row>
    <row r="109" ht="14.25">
      <c r="C109" t="s">
        <v>218</v>
      </c>
    </row>
    <row r="110" ht="14.25">
      <c r="C110" t="s">
        <v>217</v>
      </c>
    </row>
    <row r="111" ht="14.25">
      <c r="C111" t="s">
        <v>219</v>
      </c>
    </row>
    <row r="113" ht="14.25">
      <c r="B113" t="s">
        <v>275</v>
      </c>
    </row>
    <row r="114" ht="14.25">
      <c r="B114" t="s">
        <v>166</v>
      </c>
    </row>
    <row r="115" ht="14.25">
      <c r="B115" t="s">
        <v>167</v>
      </c>
    </row>
    <row r="117" ht="14.25">
      <c r="B117" t="s">
        <v>276</v>
      </c>
    </row>
    <row r="118" ht="14.25">
      <c r="B118" t="s">
        <v>115</v>
      </c>
    </row>
    <row r="120" ht="14.25">
      <c r="B120" s="171" t="s">
        <v>251</v>
      </c>
    </row>
    <row r="122" ht="14.25">
      <c r="C122" t="s">
        <v>202</v>
      </c>
    </row>
    <row r="123" ht="14.25">
      <c r="C123" t="s">
        <v>169</v>
      </c>
    </row>
    <row r="124" ht="14.25">
      <c r="C124" s="64" t="s">
        <v>199</v>
      </c>
    </row>
    <row r="125" ht="14.25">
      <c r="C125" s="64"/>
    </row>
    <row r="126" ht="14.25">
      <c r="C126" t="s">
        <v>168</v>
      </c>
    </row>
    <row r="127" ht="14.25">
      <c r="C127" t="s">
        <v>203</v>
      </c>
    </row>
    <row r="128" ht="14.25">
      <c r="C128" t="s">
        <v>225</v>
      </c>
    </row>
    <row r="129" ht="14.25">
      <c r="C129" t="s">
        <v>252</v>
      </c>
    </row>
    <row r="131" ht="14.25">
      <c r="C131" s="171" t="s">
        <v>102</v>
      </c>
    </row>
    <row r="132" ht="14.25">
      <c r="C132" s="171" t="s">
        <v>142</v>
      </c>
    </row>
    <row r="134" ht="14.25">
      <c r="C134" t="s">
        <v>253</v>
      </c>
    </row>
    <row r="135" ht="14.25">
      <c r="C135" t="s">
        <v>254</v>
      </c>
    </row>
    <row r="137" spans="2:3" ht="14.25">
      <c r="B137" t="s">
        <v>277</v>
      </c>
      <c r="C137" s="28"/>
    </row>
    <row r="138" spans="2:3" ht="14.25">
      <c r="B138" t="s">
        <v>130</v>
      </c>
      <c r="C138" s="28"/>
    </row>
    <row r="139" spans="2:3" ht="14.25">
      <c r="B139" t="s">
        <v>255</v>
      </c>
      <c r="C139" s="28"/>
    </row>
    <row r="140" ht="14.25">
      <c r="C140" s="28"/>
    </row>
    <row r="141" spans="2:11" ht="14.25">
      <c r="B141" s="129" t="s">
        <v>256</v>
      </c>
      <c r="C141" s="56"/>
      <c r="D141" s="129"/>
      <c r="E141" s="129"/>
      <c r="F141" s="129"/>
      <c r="G141" s="129"/>
      <c r="H141" s="129"/>
      <c r="I141" s="129"/>
      <c r="J141" s="129"/>
      <c r="K141" s="129"/>
    </row>
    <row r="142" spans="2:11" ht="14.25">
      <c r="B142" s="129" t="s">
        <v>258</v>
      </c>
      <c r="C142" s="56"/>
      <c r="D142" s="129"/>
      <c r="E142" s="129"/>
      <c r="F142" s="129"/>
      <c r="G142" s="129"/>
      <c r="H142" s="129"/>
      <c r="I142" s="129"/>
      <c r="J142" s="129"/>
      <c r="K142" s="129"/>
    </row>
    <row r="143" spans="2:11" ht="14.25">
      <c r="B143" s="129" t="s">
        <v>257</v>
      </c>
      <c r="C143" s="56"/>
      <c r="D143" s="129"/>
      <c r="E143" s="129"/>
      <c r="F143" s="129"/>
      <c r="G143" s="129"/>
      <c r="H143" s="129"/>
      <c r="I143" s="129"/>
      <c r="J143" s="129"/>
      <c r="K143" s="129"/>
    </row>
    <row r="145" ht="14.25">
      <c r="B145" s="171" t="s">
        <v>48</v>
      </c>
    </row>
    <row r="146" spans="2:3" ht="14.25">
      <c r="B146" s="28"/>
      <c r="C146" s="58"/>
    </row>
    <row r="147" spans="2:3" ht="14.25">
      <c r="B147" s="11" t="s">
        <v>103</v>
      </c>
      <c r="C147" s="58"/>
    </row>
    <row r="148" ht="14.25">
      <c r="B148" t="s">
        <v>116</v>
      </c>
    </row>
    <row r="149" spans="2:3" ht="14.25">
      <c r="B149" t="s">
        <v>104</v>
      </c>
      <c r="C149" s="58"/>
    </row>
    <row r="150" spans="2:3" ht="14.25">
      <c r="B150" t="s">
        <v>105</v>
      </c>
      <c r="C150" s="58"/>
    </row>
    <row r="151" ht="14.25">
      <c r="B151" t="s">
        <v>117</v>
      </c>
    </row>
    <row r="152" ht="14.25">
      <c r="B152" s="58"/>
    </row>
    <row r="153" ht="14.25">
      <c r="B153" t="s">
        <v>106</v>
      </c>
    </row>
    <row r="154" ht="14.25">
      <c r="B154" t="s">
        <v>107</v>
      </c>
    </row>
    <row r="155" spans="2:4" ht="14.25">
      <c r="B155" t="s">
        <v>108</v>
      </c>
      <c r="D155" s="172"/>
    </row>
    <row r="157" spans="2:3" ht="14.25">
      <c r="B157" s="60">
        <v>1200</v>
      </c>
      <c r="C157" t="s">
        <v>118</v>
      </c>
    </row>
    <row r="158" spans="2:3" ht="14.25">
      <c r="B158" s="40">
        <v>0.03</v>
      </c>
      <c r="C158" t="s">
        <v>78</v>
      </c>
    </row>
    <row r="159" spans="2:3" ht="14.25">
      <c r="B159" s="60">
        <v>5</v>
      </c>
      <c r="C159" t="s">
        <v>46</v>
      </c>
    </row>
    <row r="160" spans="2:3" ht="14.25">
      <c r="B160" s="53">
        <f>PV(B158,B159,,-B157)</f>
        <v>1035.130541260997</v>
      </c>
      <c r="C160" t="s">
        <v>47</v>
      </c>
    </row>
    <row r="161" ht="14.25">
      <c r="B161" t="s">
        <v>109</v>
      </c>
    </row>
    <row r="162" ht="14.25">
      <c r="B162" t="s">
        <v>173</v>
      </c>
    </row>
    <row r="164" ht="14.25">
      <c r="B164" s="171" t="s">
        <v>281</v>
      </c>
    </row>
    <row r="165" ht="14.25">
      <c r="B165" t="s">
        <v>70</v>
      </c>
    </row>
    <row r="166" ht="14.25">
      <c r="B166" t="s">
        <v>278</v>
      </c>
    </row>
    <row r="167" ht="14.25">
      <c r="B167" s="44" t="s">
        <v>280</v>
      </c>
    </row>
    <row r="168" ht="14.25">
      <c r="B168" s="44" t="s">
        <v>279</v>
      </c>
    </row>
    <row r="169" ht="14.25">
      <c r="B169" s="44"/>
    </row>
    <row r="170" ht="14.25">
      <c r="B170" t="s">
        <v>282</v>
      </c>
    </row>
    <row r="171" ht="14.25">
      <c r="B171" t="s">
        <v>259</v>
      </c>
    </row>
    <row r="172" ht="14.25">
      <c r="B172" t="s">
        <v>260</v>
      </c>
    </row>
    <row r="173" ht="14.25">
      <c r="B173" t="s">
        <v>261</v>
      </c>
    </row>
    <row r="175" ht="14.25">
      <c r="B175" t="s">
        <v>283</v>
      </c>
    </row>
    <row r="176" ht="14.25">
      <c r="B176" t="s">
        <v>110</v>
      </c>
    </row>
    <row r="178" spans="2:10" ht="14.25">
      <c r="B178" s="55" t="s">
        <v>49</v>
      </c>
      <c r="C178" s="56"/>
      <c r="D178" s="56"/>
      <c r="E178" s="56"/>
      <c r="F178" s="56"/>
      <c r="G178" s="56"/>
      <c r="H178" s="56"/>
      <c r="I178" s="56"/>
      <c r="J178" s="56"/>
    </row>
    <row r="179" ht="14.25">
      <c r="B179" s="11"/>
    </row>
    <row r="180" ht="14.25">
      <c r="B180" s="54" t="s">
        <v>50</v>
      </c>
    </row>
    <row r="181" ht="14.25">
      <c r="B181" s="54" t="s">
        <v>51</v>
      </c>
    </row>
    <row r="182" ht="14.25">
      <c r="B182" s="54" t="s">
        <v>52</v>
      </c>
    </row>
    <row r="183" ht="14.25">
      <c r="B183" s="54" t="s">
        <v>53</v>
      </c>
    </row>
    <row r="184" ht="14.25">
      <c r="B184" s="54" t="s">
        <v>54</v>
      </c>
    </row>
    <row r="185" ht="14.25">
      <c r="B185" s="54" t="s">
        <v>55</v>
      </c>
    </row>
    <row r="186" ht="14.25">
      <c r="B186" s="54" t="s">
        <v>56</v>
      </c>
    </row>
    <row r="187" ht="14.25">
      <c r="B187" s="54" t="s">
        <v>57</v>
      </c>
    </row>
    <row r="188" ht="14.25">
      <c r="B188" s="54" t="s">
        <v>58</v>
      </c>
    </row>
    <row r="189" ht="14.25">
      <c r="B189" s="54" t="s">
        <v>59</v>
      </c>
    </row>
    <row r="190" ht="14.25">
      <c r="B190" s="54" t="s">
        <v>60</v>
      </c>
    </row>
    <row r="191" ht="14.25">
      <c r="B191" s="54" t="s">
        <v>61</v>
      </c>
    </row>
    <row r="192" ht="14.25">
      <c r="B192" s="54" t="s">
        <v>62</v>
      </c>
    </row>
    <row r="193" ht="14.25">
      <c r="B193" s="54" t="s">
        <v>63</v>
      </c>
    </row>
    <row r="194" ht="14.25">
      <c r="B194" s="54" t="s">
        <v>64</v>
      </c>
    </row>
    <row r="196" ht="14.25">
      <c r="B196" t="s">
        <v>68</v>
      </c>
    </row>
    <row r="197" ht="15" thickBot="1"/>
    <row r="198" spans="2:10" ht="14.25">
      <c r="B198" s="173" t="s">
        <v>286</v>
      </c>
      <c r="C198" s="177"/>
      <c r="D198" s="177"/>
      <c r="E198" s="177"/>
      <c r="F198" s="177"/>
      <c r="G198" s="177"/>
      <c r="H198" s="177"/>
      <c r="I198" s="177"/>
      <c r="J198" s="174"/>
    </row>
    <row r="199" spans="2:10" ht="15" thickBot="1">
      <c r="B199" s="175" t="s">
        <v>287</v>
      </c>
      <c r="C199" s="178"/>
      <c r="D199" s="178"/>
      <c r="E199" s="178"/>
      <c r="F199" s="178"/>
      <c r="G199" s="178"/>
      <c r="H199" s="178"/>
      <c r="I199" s="178"/>
      <c r="J199" s="176"/>
    </row>
    <row r="201" ht="14.25">
      <c r="B201" t="s">
        <v>137</v>
      </c>
    </row>
    <row r="202" ht="14.25">
      <c r="B202" t="s">
        <v>139</v>
      </c>
    </row>
    <row r="203" ht="14.25">
      <c r="B203" t="s">
        <v>140</v>
      </c>
    </row>
    <row r="204" ht="14.25">
      <c r="B204" s="110" t="s">
        <v>200</v>
      </c>
    </row>
    <row r="205" ht="14.25">
      <c r="B205" t="s">
        <v>159</v>
      </c>
    </row>
    <row r="206" ht="14.25">
      <c r="B206" t="s">
        <v>160</v>
      </c>
    </row>
    <row r="207" ht="14.25">
      <c r="B207" t="s">
        <v>197</v>
      </c>
    </row>
    <row r="208" ht="14.25">
      <c r="B208" t="s">
        <v>226</v>
      </c>
    </row>
    <row r="209" ht="14.25">
      <c r="B209" t="s">
        <v>206</v>
      </c>
    </row>
    <row r="210" ht="14.25">
      <c r="B210" t="s">
        <v>243</v>
      </c>
    </row>
    <row r="211" ht="14.25">
      <c r="B211" s="11" t="s">
        <v>246</v>
      </c>
    </row>
    <row r="212" ht="14.25">
      <c r="B212" t="s">
        <v>247</v>
      </c>
    </row>
    <row r="213" ht="14.25">
      <c r="B213" t="s">
        <v>244</v>
      </c>
    </row>
    <row r="214" ht="14.25">
      <c r="B214" t="s">
        <v>284</v>
      </c>
    </row>
    <row r="215" ht="14.25">
      <c r="B215" t="s">
        <v>285</v>
      </c>
    </row>
    <row r="216" ht="14.25">
      <c r="B216" t="s">
        <v>297</v>
      </c>
    </row>
    <row r="217" ht="14.25">
      <c r="B217" t="s">
        <v>298</v>
      </c>
    </row>
  </sheetData>
  <sheetProtection password="EA69" sheet="1" objects="1" scenarios="1"/>
  <dataValidations count="1">
    <dataValidation type="decimal" operator="greaterThanOrEqual" allowBlank="1" showInputMessage="1" showErrorMessage="1" error="This cannot be less than 0%." sqref="B158">
      <formula1>0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0"/>
  <sheetViews>
    <sheetView showGridLines="0" showRowColHeaders="0" zoomScale="98" zoomScaleNormal="98" zoomScalePageLayoutView="0" workbookViewId="0" topLeftCell="B1">
      <selection activeCell="B1" sqref="B1"/>
    </sheetView>
  </sheetViews>
  <sheetFormatPr defaultColWidth="9.140625" defaultRowHeight="15"/>
  <cols>
    <col min="2" max="2" width="9.14062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9.57421875" style="0" customWidth="1"/>
    <col min="9" max="10" width="12.00390625" style="0" customWidth="1"/>
    <col min="11" max="11" width="11.57421875" style="11" customWidth="1"/>
    <col min="12" max="12" width="11.8515625" style="0" hidden="1" customWidth="1"/>
    <col min="13" max="36" width="9.140625" style="0" hidden="1" customWidth="1"/>
    <col min="37" max="37" width="28.8515625" style="0" customWidth="1"/>
  </cols>
  <sheetData>
    <row r="1" spans="3:8" ht="14.25">
      <c r="C1" s="190" t="s">
        <v>303</v>
      </c>
      <c r="D1" s="129"/>
      <c r="E1" s="129"/>
      <c r="F1" s="129"/>
      <c r="G1" s="129"/>
      <c r="H1" s="129"/>
    </row>
    <row r="2" spans="3:8" ht="14.25">
      <c r="C2" s="190" t="s">
        <v>305</v>
      </c>
      <c r="D2" s="129"/>
      <c r="E2" s="129"/>
      <c r="F2" s="129"/>
      <c r="G2" s="129"/>
      <c r="H2" s="129"/>
    </row>
    <row r="3" spans="3:8" ht="14.25">
      <c r="C3" s="190" t="s">
        <v>306</v>
      </c>
      <c r="D3" s="129"/>
      <c r="E3" s="129"/>
      <c r="F3" s="129"/>
      <c r="G3" s="129"/>
      <c r="H3" s="129"/>
    </row>
    <row r="4" spans="3:8" ht="14.25">
      <c r="C4" s="190" t="s">
        <v>304</v>
      </c>
      <c r="D4" s="129"/>
      <c r="E4" s="129"/>
      <c r="F4" s="129"/>
      <c r="G4" s="129"/>
      <c r="H4" s="129"/>
    </row>
    <row r="6" spans="4:36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6" ht="18.75">
      <c r="B7" s="57" t="s">
        <v>65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5" customHeight="1">
      <c r="B8" s="57"/>
      <c r="C8" s="29" t="s">
        <v>81</v>
      </c>
      <c r="D8" s="11"/>
      <c r="E8" s="11" t="s">
        <v>79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36" ht="15" customHeight="1">
      <c r="B9" s="57"/>
      <c r="C9" s="65">
        <v>2</v>
      </c>
      <c r="D9" s="11"/>
      <c r="E9" s="11" t="s">
        <v>80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36" ht="15" customHeight="1">
      <c r="B10" s="105" t="str">
        <f>IF(C9=1,".","Hi is the only one that can opt to use File &amp; Suspend or Suspend and is, with few exceptions, the higher income spouse.")</f>
        <v>Hi is the only one that can opt to use File &amp; Suspend or Suspend and is, with few exceptions, the higher income spouse.</v>
      </c>
      <c r="L10" s="20"/>
      <c r="M10" s="10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4:36" ht="14.25">
      <c r="D11" s="12" t="s">
        <v>0</v>
      </c>
      <c r="E11" s="12" t="s">
        <v>1</v>
      </c>
      <c r="K11" s="91" t="s">
        <v>122</v>
      </c>
      <c r="L11" s="20"/>
      <c r="M11" s="10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3:36" ht="15">
      <c r="C12" s="14" t="s">
        <v>134</v>
      </c>
      <c r="D12" s="42" t="s">
        <v>120</v>
      </c>
      <c r="E12" s="42" t="s">
        <v>138</v>
      </c>
      <c r="F12" s="104" t="str">
        <f>IF(C9=1,"Spouse",E12)</f>
        <v>Jane</v>
      </c>
      <c r="K12" t="s">
        <v>194</v>
      </c>
      <c r="L12" s="20"/>
      <c r="M12" s="28" t="str">
        <f>IF(G31=0,CONCATENATE("Social security &amp; pensions in today's $s vs. ",D12,"'s Age"),G31)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52"/>
      <c r="AD12" s="20"/>
      <c r="AE12" s="20"/>
      <c r="AF12" s="20"/>
      <c r="AG12" s="20"/>
      <c r="AH12" s="20"/>
      <c r="AI12" s="20"/>
      <c r="AJ12" s="20"/>
    </row>
    <row r="13" spans="3:36" ht="15">
      <c r="C13" s="14" t="s">
        <v>13</v>
      </c>
      <c r="D13" s="41">
        <v>60</v>
      </c>
      <c r="E13" s="42">
        <v>57</v>
      </c>
      <c r="G13" s="92" t="s">
        <v>77</v>
      </c>
      <c r="H13" s="11"/>
      <c r="I13" s="11"/>
      <c r="K13" s="19" t="s">
        <v>205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  <c r="AJ13" s="20"/>
    </row>
    <row r="14" spans="3:36" ht="15">
      <c r="C14" s="14" t="s">
        <v>127</v>
      </c>
      <c r="D14" s="42">
        <v>62</v>
      </c>
      <c r="E14" s="108">
        <v>62</v>
      </c>
      <c r="F14" s="90" t="str">
        <f>IF($C$9=1,".",CONCATENATE("&lt;",$D$12,"  is ",E14+$D$13-$E$13))</f>
        <v>&lt;Bill  is 65</v>
      </c>
      <c r="G14" s="94">
        <v>1</v>
      </c>
      <c r="H14" s="11" t="s">
        <v>22</v>
      </c>
      <c r="I14" s="11"/>
      <c r="K14" s="19" t="s">
        <v>204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  <c r="AJ14" s="20"/>
    </row>
    <row r="15" spans="3:36" ht="15">
      <c r="C15" s="106" t="s">
        <v>143</v>
      </c>
      <c r="D15" s="107">
        <v>62</v>
      </c>
      <c r="E15" s="112" t="str">
        <f>CONCATENATE(E12," retires in same year.")</f>
        <v>Jane retires in same year.</v>
      </c>
      <c r="F15" s="90"/>
      <c r="G15" s="93"/>
      <c r="H15" s="11" t="s">
        <v>21</v>
      </c>
      <c r="I15" s="11"/>
      <c r="K15" s="19" t="s">
        <v>129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  <c r="AJ15" s="20"/>
    </row>
    <row r="16" spans="3:36" ht="15">
      <c r="C16" s="14" t="s">
        <v>44</v>
      </c>
      <c r="D16" s="50">
        <v>2450</v>
      </c>
      <c r="E16" s="109">
        <v>800</v>
      </c>
      <c r="G16" s="93"/>
      <c r="H16" s="11" t="s">
        <v>210</v>
      </c>
      <c r="I16" s="11"/>
      <c r="K16" s="19" t="s">
        <v>175</v>
      </c>
      <c r="L16" s="20"/>
      <c r="M16" s="20" t="s">
        <v>17</v>
      </c>
      <c r="N16" s="38">
        <f>D18</f>
        <v>0</v>
      </c>
      <c r="O16" s="38">
        <f>E18*IF(C9=1,0,1)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  <c r="AJ16" s="20"/>
    </row>
    <row r="17" spans="3:36" ht="15">
      <c r="C17" s="14" t="s">
        <v>121</v>
      </c>
      <c r="D17" s="42">
        <v>80</v>
      </c>
      <c r="E17" s="42">
        <v>90</v>
      </c>
      <c r="F17" s="90" t="str">
        <f>IF($C$9=1,".",CONCATENATE("&lt;",$D$12,"  is ",E17+$D$13-$E$13))</f>
        <v>&lt;Bill  is 93</v>
      </c>
      <c r="G17" s="93"/>
      <c r="H17" s="11" t="s">
        <v>189</v>
      </c>
      <c r="I17" s="11"/>
      <c r="K17" s="19" t="s">
        <v>177</v>
      </c>
      <c r="L17" s="20"/>
      <c r="M17" s="20" t="s">
        <v>37</v>
      </c>
      <c r="N17" s="38">
        <f>VLOOKUP(70,N29:R80,5)</f>
        <v>1837.5</v>
      </c>
      <c r="O17" s="38">
        <f>VLOOKUP(70,U29:AE80,11)</f>
        <v>796.25</v>
      </c>
      <c r="P17" s="38">
        <f>N17*(70-R16)-SUM(S29:S80)+G21*(65-D14)*IF(D14&gt;65,0,1)</f>
        <v>0</v>
      </c>
      <c r="Q17" s="180">
        <f>IF(C9=1,0,1)*((70-S16)*O17-SUM(AF29:AF80)+G21*(65-E14)*IF(E14&gt;65,0,1))</f>
        <v>2388.75</v>
      </c>
      <c r="R17" s="20"/>
      <c r="S17" s="20"/>
      <c r="T17" s="20"/>
      <c r="U17" s="20"/>
      <c r="V17" s="116">
        <f>$D$16*(LOOKUP($D$14,$AG$29:$AH$80))</f>
        <v>1837.5</v>
      </c>
      <c r="W17" s="116">
        <f>$E$16*(VLOOKUP($E$14,$AG$29:$AI$80,2))</f>
        <v>600</v>
      </c>
      <c r="X17" s="20">
        <f>IF(V17&gt;W17,V17,W17)</f>
        <v>1837.5</v>
      </c>
      <c r="Y17" s="20">
        <f>X17</f>
        <v>1837.5</v>
      </c>
      <c r="Z17" s="20"/>
      <c r="AA17" s="103" t="s">
        <v>157</v>
      </c>
      <c r="AC17" s="129"/>
      <c r="AD17" s="135">
        <f>VLOOKUP(AD16,C49:K100,9)</f>
        <v>22050</v>
      </c>
      <c r="AE17" s="20"/>
      <c r="AF17" s="20"/>
      <c r="AG17" s="20"/>
      <c r="AH17" s="20"/>
      <c r="AI17" s="20"/>
      <c r="AJ17" s="20"/>
    </row>
    <row r="18" spans="3:36" ht="15">
      <c r="C18" s="14" t="s">
        <v>174</v>
      </c>
      <c r="D18" s="50"/>
      <c r="E18" s="50"/>
      <c r="G18" s="95"/>
      <c r="H18" s="94" t="b">
        <v>0</v>
      </c>
      <c r="I18" s="94" t="b">
        <v>0</v>
      </c>
      <c r="K18" s="19" t="s">
        <v>222</v>
      </c>
      <c r="L18" s="20"/>
      <c r="M18" s="20" t="s">
        <v>125</v>
      </c>
      <c r="N18" s="38"/>
      <c r="O18" s="38"/>
      <c r="P18" s="39" t="s">
        <v>42</v>
      </c>
      <c r="Q18" s="180">
        <f>SUM(P16:Q17)*12</f>
        <v>28665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3:36" ht="14.25">
      <c r="C19" s="14" t="s">
        <v>74</v>
      </c>
      <c r="D19" s="45">
        <v>1</v>
      </c>
      <c r="E19" s="46">
        <v>1</v>
      </c>
      <c r="I19" s="11"/>
      <c r="K19" s="19" t="s">
        <v>221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  <c r="AJ19" s="20"/>
    </row>
    <row r="20" spans="3:34" ht="15">
      <c r="C20" s="14" t="s">
        <v>128</v>
      </c>
      <c r="D20" s="42">
        <v>62</v>
      </c>
      <c r="E20" s="42">
        <v>67</v>
      </c>
      <c r="F20" s="90" t="str">
        <f>IF($C$9=1,".",CONCATENATE("&lt;",$D$12,"  is ",E20+$D$13-$E$13))</f>
        <v>&lt;Bill  is 70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01"/>
    </row>
    <row r="21" spans="3:34" ht="15">
      <c r="C21" s="14" t="s">
        <v>176</v>
      </c>
      <c r="D21" s="97"/>
      <c r="E21" s="97"/>
      <c r="G21" s="123">
        <v>0</v>
      </c>
      <c r="H21" t="s">
        <v>183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7:34" ht="15">
      <c r="G22" t="s">
        <v>188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4:36" ht="14.25">
      <c r="D23" s="40">
        <v>0.045</v>
      </c>
      <c r="E23" s="19" t="s">
        <v>14</v>
      </c>
      <c r="G23" t="s">
        <v>187</v>
      </c>
      <c r="I23" s="11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4:34" ht="14.25">
      <c r="D24" t="s">
        <v>171</v>
      </c>
      <c r="I24" s="11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9:34" ht="14.25">
      <c r="I25" s="11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6" ht="15">
      <c r="B26" s="91" t="s">
        <v>158</v>
      </c>
      <c r="F26" s="14" t="str">
        <f>CONCATENATE("Annual income at ",D12,"'s age of 70 in today's $")</f>
        <v>Annual income at Bill's age of 70 in today's $</v>
      </c>
      <c r="G26" s="43">
        <f>VLOOKUP(70,C108:J159,8)</f>
        <v>31605</v>
      </c>
      <c r="H26" s="61"/>
      <c r="I26" s="11"/>
      <c r="J26" s="11"/>
      <c r="L26" s="11"/>
      <c r="M26" s="11"/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3"/>
    </row>
    <row r="27" spans="3:36" ht="14.25">
      <c r="C27" s="19"/>
      <c r="F27" s="14" t="s">
        <v>295</v>
      </c>
      <c r="G27" s="43">
        <f>VLOOKUP(L111+1,C108:J159,8)</f>
        <v>22050</v>
      </c>
      <c r="I27" s="115"/>
      <c r="J27" s="11"/>
      <c r="L27" s="11"/>
      <c r="M27" s="11"/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185</v>
      </c>
      <c r="S27" s="5" t="s">
        <v>136</v>
      </c>
      <c r="T27" s="114" t="s">
        <v>208</v>
      </c>
      <c r="U27" s="35" t="str">
        <f>F12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6"/>
    </row>
    <row r="28" spans="3:36" ht="14.25">
      <c r="C28" s="19"/>
      <c r="F28" s="14" t="s">
        <v>161</v>
      </c>
      <c r="G28" s="43">
        <f>SUM(I108:I159)</f>
        <v>28665</v>
      </c>
      <c r="H28" s="29"/>
      <c r="I28" s="11"/>
      <c r="J28" s="11"/>
      <c r="L28" s="11"/>
      <c r="M28" s="11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12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N27</f>
        <v>Bill</v>
      </c>
      <c r="AI28" s="5" t="str">
        <f>U27</f>
        <v>Jane</v>
      </c>
      <c r="AJ28" s="6" t="s">
        <v>5</v>
      </c>
    </row>
    <row r="29" spans="3:36" ht="14.25">
      <c r="C29" s="19"/>
      <c r="F29" s="113" t="s">
        <v>301</v>
      </c>
      <c r="G29" s="43">
        <f>SUM(J108:J159)</f>
        <v>855540</v>
      </c>
      <c r="H29" s="184" t="s">
        <v>300</v>
      </c>
      <c r="I29" s="11"/>
      <c r="J29" s="11"/>
      <c r="L29" s="11"/>
      <c r="M29" s="11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IF($G$14=1,O29,IF($G$14=2,P29,Q29))-$G$21*IF(N29&lt;65,0,1)*IF(N29&gt;$D$17-1,0,1)+T29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45">IF(R29&gt;AC29,R29,AC29)*IF(C49&lt;$D$17,0,1)</f>
        <v>0</v>
      </c>
      <c r="AE29" s="84">
        <f>(IF(AC29&gt;AD29,AC29,AD29)-$G$21*IF(U29&lt;65,0,1)*IF(U29&gt;$E$17-1,0,1))*IF($C$9=1,0,1)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6">
        <v>1.32</v>
      </c>
    </row>
    <row r="30" spans="9:37" ht="14.25">
      <c r="I30" s="47"/>
      <c r="J30" s="11"/>
      <c r="L30" s="11"/>
      <c r="M30" s="11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IF($G$14=1,O30,IF($G$14=2,P30,Q30))-$G$21*IF(N30&lt;65,0,1)*IF(N30&gt;$D$17-1,0,1)+T30</f>
        <v>0</v>
      </c>
      <c r="S30" s="83">
        <f t="shared" si="4"/>
        <v>0</v>
      </c>
      <c r="T30" s="83">
        <f aca="true" t="shared" si="16" ref="T30:T80">IF($G$14=2,0.5*$E$16*IF(N30&lt;66,0,1)*IF(N30&gt;69,0,1),0)*IF($E$16&gt;0.5*$D$16,1,0)*IF($C$9=1,0,1)</f>
        <v>0</v>
      </c>
      <c r="U30" s="85">
        <f t="shared" si="5"/>
        <v>58</v>
      </c>
      <c r="V30" s="83">
        <f t="shared" si="6"/>
        <v>0</v>
      </c>
      <c r="W30" s="86">
        <f aca="true" t="shared" si="17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 aca="true" t="shared" si="18" ref="AE30:AE80">(IF(AC30&gt;AD30,AC30,AD30)-$G$21*IF(U30&lt;65,0,1)*IF(U30&gt;$E$17-1,0,1))*IF($C$9=1,0,1)</f>
        <v>0</v>
      </c>
      <c r="AF30">
        <f t="shared" si="14"/>
        <v>0</v>
      </c>
      <c r="AG30" s="4">
        <f aca="true" t="shared" si="19" ref="AG30:AG61">AG29+1</f>
        <v>51</v>
      </c>
      <c r="AH30" s="5">
        <v>0</v>
      </c>
      <c r="AI30" s="5">
        <v>0</v>
      </c>
      <c r="AJ30" s="6">
        <v>1.32</v>
      </c>
      <c r="AK30" s="26" t="s">
        <v>201</v>
      </c>
    </row>
    <row r="31" spans="4:37" ht="14.25">
      <c r="D31" s="11"/>
      <c r="E31" s="117"/>
      <c r="F31" s="14" t="s">
        <v>170</v>
      </c>
      <c r="G31" s="119"/>
      <c r="I31" s="47"/>
      <c r="J31" s="11"/>
      <c r="L31" s="11"/>
      <c r="M31" s="11"/>
      <c r="N31" s="33">
        <f t="shared" si="0"/>
        <v>62</v>
      </c>
      <c r="O31" s="83">
        <f t="shared" si="1"/>
        <v>1837.5</v>
      </c>
      <c r="P31" s="83">
        <f t="shared" si="2"/>
        <v>0</v>
      </c>
      <c r="Q31" s="132">
        <f t="shared" si="3"/>
        <v>1837.5</v>
      </c>
      <c r="R31" s="84">
        <f t="shared" si="15"/>
        <v>1837.5</v>
      </c>
      <c r="S31" s="83">
        <f t="shared" si="4"/>
        <v>1837.5</v>
      </c>
      <c r="T31" s="83">
        <f t="shared" si="16"/>
        <v>0</v>
      </c>
      <c r="U31" s="85">
        <f t="shared" si="5"/>
        <v>59</v>
      </c>
      <c r="V31" s="83">
        <f t="shared" si="6"/>
        <v>0</v>
      </c>
      <c r="W31" s="86">
        <f t="shared" si="17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 t="shared" si="18"/>
        <v>0</v>
      </c>
      <c r="AF31">
        <f t="shared" si="14"/>
        <v>0</v>
      </c>
      <c r="AG31" s="4">
        <f t="shared" si="19"/>
        <v>52</v>
      </c>
      <c r="AH31" s="5">
        <v>0</v>
      </c>
      <c r="AI31" s="5">
        <v>0</v>
      </c>
      <c r="AJ31" s="6">
        <v>1.32</v>
      </c>
      <c r="AK31" s="26"/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1837.5</v>
      </c>
      <c r="P32" s="132">
        <f t="shared" si="2"/>
        <v>0</v>
      </c>
      <c r="Q32" s="132">
        <f t="shared" si="3"/>
        <v>1837.5</v>
      </c>
      <c r="R32" s="154">
        <f t="shared" si="15"/>
        <v>1837.5</v>
      </c>
      <c r="S32" s="132">
        <f t="shared" si="4"/>
        <v>1837.5</v>
      </c>
      <c r="T32" s="132">
        <f t="shared" si="16"/>
        <v>0</v>
      </c>
      <c r="U32" s="155">
        <f t="shared" si="5"/>
        <v>60</v>
      </c>
      <c r="V32" s="132">
        <f t="shared" si="6"/>
        <v>0</v>
      </c>
      <c r="W32" s="156">
        <f t="shared" si="17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 t="shared" si="18"/>
        <v>0</v>
      </c>
      <c r="AF32" s="11">
        <f t="shared" si="14"/>
        <v>0</v>
      </c>
      <c r="AG32" s="33">
        <f t="shared" si="19"/>
        <v>53</v>
      </c>
      <c r="AH32" s="114">
        <v>0</v>
      </c>
      <c r="AI32" s="114">
        <v>0</v>
      </c>
      <c r="AJ32" s="157">
        <v>1.32</v>
      </c>
      <c r="AK32" s="26"/>
    </row>
    <row r="33" spans="10:37" ht="14.25">
      <c r="J33" s="11"/>
      <c r="L33" s="11"/>
      <c r="M33" s="11"/>
      <c r="N33" s="33">
        <f t="shared" si="0"/>
        <v>64</v>
      </c>
      <c r="O33" s="83">
        <f t="shared" si="1"/>
        <v>1837.5</v>
      </c>
      <c r="P33" s="83">
        <f t="shared" si="2"/>
        <v>0</v>
      </c>
      <c r="Q33" s="132">
        <f t="shared" si="3"/>
        <v>1837.5</v>
      </c>
      <c r="R33" s="84">
        <f t="shared" si="15"/>
        <v>1837.5</v>
      </c>
      <c r="S33" s="83">
        <f t="shared" si="4"/>
        <v>1837.5</v>
      </c>
      <c r="T33" s="83">
        <f t="shared" si="16"/>
        <v>0</v>
      </c>
      <c r="U33" s="85">
        <f t="shared" si="5"/>
        <v>61</v>
      </c>
      <c r="V33" s="83">
        <f t="shared" si="6"/>
        <v>0</v>
      </c>
      <c r="W33" s="86">
        <f t="shared" si="17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 t="shared" si="18"/>
        <v>0</v>
      </c>
      <c r="AF33">
        <f t="shared" si="14"/>
        <v>0</v>
      </c>
      <c r="AG33" s="4">
        <f t="shared" si="19"/>
        <v>54</v>
      </c>
      <c r="AH33" s="5">
        <v>0</v>
      </c>
      <c r="AI33" s="5">
        <v>0</v>
      </c>
      <c r="AJ33" s="6">
        <v>1.32</v>
      </c>
      <c r="AK33" s="26"/>
    </row>
    <row r="34" spans="14:37" ht="14.25">
      <c r="N34" s="33">
        <f t="shared" si="0"/>
        <v>65</v>
      </c>
      <c r="O34" s="83">
        <f t="shared" si="1"/>
        <v>1837.5</v>
      </c>
      <c r="P34" s="83">
        <f t="shared" si="2"/>
        <v>0</v>
      </c>
      <c r="Q34" s="132">
        <f t="shared" si="3"/>
        <v>1837.5</v>
      </c>
      <c r="R34" s="84">
        <f t="shared" si="15"/>
        <v>1837.5</v>
      </c>
      <c r="S34" s="83">
        <f t="shared" si="4"/>
        <v>1837.5</v>
      </c>
      <c r="T34" s="83">
        <f t="shared" si="16"/>
        <v>0</v>
      </c>
      <c r="U34" s="85">
        <f t="shared" si="5"/>
        <v>62</v>
      </c>
      <c r="V34" s="83">
        <f t="shared" si="6"/>
        <v>600</v>
      </c>
      <c r="W34" s="86">
        <f t="shared" si="17"/>
        <v>796.25</v>
      </c>
      <c r="X34" s="86">
        <f t="shared" si="7"/>
        <v>0</v>
      </c>
      <c r="Y34" s="86">
        <f t="shared" si="8"/>
        <v>796.25</v>
      </c>
      <c r="Z34" s="86">
        <f t="shared" si="9"/>
        <v>796.25</v>
      </c>
      <c r="AA34" s="86">
        <f t="shared" si="10"/>
        <v>600</v>
      </c>
      <c r="AB34" s="86">
        <f t="shared" si="11"/>
        <v>796.25</v>
      </c>
      <c r="AC34" s="83">
        <f t="shared" si="12"/>
        <v>796.25</v>
      </c>
      <c r="AD34" s="83">
        <f t="shared" si="13"/>
        <v>0</v>
      </c>
      <c r="AE34" s="84">
        <f t="shared" si="18"/>
        <v>796.25</v>
      </c>
      <c r="AF34">
        <f t="shared" si="14"/>
        <v>796.25</v>
      </c>
      <c r="AG34" s="4">
        <f t="shared" si="19"/>
        <v>55</v>
      </c>
      <c r="AH34" s="5">
        <v>0</v>
      </c>
      <c r="AI34" s="5">
        <v>0</v>
      </c>
      <c r="AJ34" s="6">
        <v>1.32</v>
      </c>
      <c r="AK34" s="26"/>
    </row>
    <row r="35" spans="14:37" ht="14.25">
      <c r="N35" s="33">
        <f t="shared" si="0"/>
        <v>66</v>
      </c>
      <c r="O35" s="83">
        <f t="shared" si="1"/>
        <v>1837.5</v>
      </c>
      <c r="P35" s="83">
        <f t="shared" si="2"/>
        <v>0</v>
      </c>
      <c r="Q35" s="132">
        <f t="shared" si="3"/>
        <v>0</v>
      </c>
      <c r="R35" s="84">
        <f t="shared" si="15"/>
        <v>1837.5</v>
      </c>
      <c r="S35" s="83">
        <f t="shared" si="4"/>
        <v>1837.5</v>
      </c>
      <c r="T35" s="83">
        <f t="shared" si="16"/>
        <v>0</v>
      </c>
      <c r="U35" s="85">
        <f t="shared" si="5"/>
        <v>63</v>
      </c>
      <c r="V35" s="83">
        <f t="shared" si="6"/>
        <v>600</v>
      </c>
      <c r="W35" s="86">
        <f t="shared" si="17"/>
        <v>796.25</v>
      </c>
      <c r="X35" s="86">
        <f t="shared" si="7"/>
        <v>796.25</v>
      </c>
      <c r="Y35" s="86">
        <f t="shared" si="8"/>
        <v>796.25</v>
      </c>
      <c r="Z35" s="86">
        <f t="shared" si="9"/>
        <v>796.25</v>
      </c>
      <c r="AA35" s="86">
        <f t="shared" si="10"/>
        <v>796.25</v>
      </c>
      <c r="AB35" s="86">
        <f t="shared" si="11"/>
        <v>796.25</v>
      </c>
      <c r="AC35" s="83">
        <f t="shared" si="12"/>
        <v>796.25</v>
      </c>
      <c r="AD35" s="83">
        <f t="shared" si="13"/>
        <v>0</v>
      </c>
      <c r="AE35" s="84">
        <f t="shared" si="18"/>
        <v>796.25</v>
      </c>
      <c r="AF35">
        <f t="shared" si="14"/>
        <v>796.25</v>
      </c>
      <c r="AG35" s="4">
        <f t="shared" si="19"/>
        <v>56</v>
      </c>
      <c r="AH35" s="5">
        <v>0</v>
      </c>
      <c r="AI35" s="5">
        <v>0</v>
      </c>
      <c r="AJ35" s="6">
        <v>1.32</v>
      </c>
      <c r="AK35" s="26"/>
    </row>
    <row r="36" spans="14:37" ht="14.25">
      <c r="N36" s="33">
        <f t="shared" si="0"/>
        <v>67</v>
      </c>
      <c r="O36" s="83">
        <f t="shared" si="1"/>
        <v>1837.5</v>
      </c>
      <c r="P36" s="83">
        <f t="shared" si="2"/>
        <v>0</v>
      </c>
      <c r="Q36" s="132">
        <f t="shared" si="3"/>
        <v>0</v>
      </c>
      <c r="R36" s="84">
        <f t="shared" si="15"/>
        <v>1837.5</v>
      </c>
      <c r="S36" s="83">
        <f t="shared" si="4"/>
        <v>1837.5</v>
      </c>
      <c r="T36" s="83">
        <f t="shared" si="16"/>
        <v>0</v>
      </c>
      <c r="U36" s="85">
        <f t="shared" si="5"/>
        <v>64</v>
      </c>
      <c r="V36" s="83">
        <f t="shared" si="6"/>
        <v>600</v>
      </c>
      <c r="W36" s="86">
        <f t="shared" si="17"/>
        <v>796.25</v>
      </c>
      <c r="X36" s="86">
        <f t="shared" si="7"/>
        <v>796.25</v>
      </c>
      <c r="Y36" s="86">
        <f t="shared" si="8"/>
        <v>796.25</v>
      </c>
      <c r="Z36" s="86">
        <f t="shared" si="9"/>
        <v>796.25</v>
      </c>
      <c r="AA36" s="86">
        <f t="shared" si="10"/>
        <v>796.25</v>
      </c>
      <c r="AB36" s="86">
        <f t="shared" si="11"/>
        <v>796.25</v>
      </c>
      <c r="AC36" s="83">
        <f t="shared" si="12"/>
        <v>796.25</v>
      </c>
      <c r="AD36" s="83">
        <f t="shared" si="13"/>
        <v>0</v>
      </c>
      <c r="AE36" s="84">
        <f t="shared" si="18"/>
        <v>796.25</v>
      </c>
      <c r="AF36">
        <f t="shared" si="14"/>
        <v>796.25</v>
      </c>
      <c r="AG36" s="4">
        <f t="shared" si="19"/>
        <v>57</v>
      </c>
      <c r="AH36" s="5">
        <v>0</v>
      </c>
      <c r="AI36" s="5">
        <v>0</v>
      </c>
      <c r="AJ36" s="6">
        <v>1.32</v>
      </c>
      <c r="AK36" s="26"/>
    </row>
    <row r="37" spans="14:37" ht="14.25">
      <c r="N37" s="33">
        <f t="shared" si="0"/>
        <v>68</v>
      </c>
      <c r="O37" s="83">
        <f t="shared" si="1"/>
        <v>1837.5</v>
      </c>
      <c r="P37" s="83">
        <f t="shared" si="2"/>
        <v>0</v>
      </c>
      <c r="Q37" s="132">
        <f t="shared" si="3"/>
        <v>0</v>
      </c>
      <c r="R37" s="84">
        <f t="shared" si="15"/>
        <v>1837.5</v>
      </c>
      <c r="S37" s="83">
        <f t="shared" si="4"/>
        <v>1837.5</v>
      </c>
      <c r="T37" s="83">
        <f t="shared" si="16"/>
        <v>0</v>
      </c>
      <c r="U37" s="85">
        <f t="shared" si="5"/>
        <v>65</v>
      </c>
      <c r="V37" s="83">
        <f t="shared" si="6"/>
        <v>600</v>
      </c>
      <c r="W37" s="86">
        <f t="shared" si="17"/>
        <v>796.25</v>
      </c>
      <c r="X37" s="86">
        <f t="shared" si="7"/>
        <v>796.25</v>
      </c>
      <c r="Y37" s="86">
        <f t="shared" si="8"/>
        <v>796.25</v>
      </c>
      <c r="Z37" s="86">
        <f t="shared" si="9"/>
        <v>796.25</v>
      </c>
      <c r="AA37" s="86">
        <f t="shared" si="10"/>
        <v>796.25</v>
      </c>
      <c r="AB37" s="86">
        <f t="shared" si="11"/>
        <v>796.25</v>
      </c>
      <c r="AC37" s="83">
        <f t="shared" si="12"/>
        <v>796.25</v>
      </c>
      <c r="AD37" s="83">
        <f t="shared" si="13"/>
        <v>0</v>
      </c>
      <c r="AE37" s="84">
        <f t="shared" si="18"/>
        <v>796.25</v>
      </c>
      <c r="AF37">
        <f t="shared" si="14"/>
        <v>796.25</v>
      </c>
      <c r="AG37" s="4">
        <f t="shared" si="19"/>
        <v>58</v>
      </c>
      <c r="AH37" s="5">
        <v>0</v>
      </c>
      <c r="AI37" s="5">
        <v>0</v>
      </c>
      <c r="AJ37" s="6">
        <v>1.32</v>
      </c>
      <c r="AK37" s="26"/>
    </row>
    <row r="38" spans="14:37" ht="14.25">
      <c r="N38" s="33">
        <f t="shared" si="0"/>
        <v>69</v>
      </c>
      <c r="O38" s="83">
        <f t="shared" si="1"/>
        <v>1837.5</v>
      </c>
      <c r="P38" s="83">
        <f t="shared" si="2"/>
        <v>0</v>
      </c>
      <c r="Q38" s="132">
        <f t="shared" si="3"/>
        <v>0</v>
      </c>
      <c r="R38" s="84">
        <f t="shared" si="15"/>
        <v>1837.5</v>
      </c>
      <c r="S38" s="83">
        <f t="shared" si="4"/>
        <v>1837.5</v>
      </c>
      <c r="T38" s="83">
        <f t="shared" si="16"/>
        <v>0</v>
      </c>
      <c r="U38" s="85">
        <f t="shared" si="5"/>
        <v>66</v>
      </c>
      <c r="V38" s="83">
        <f t="shared" si="6"/>
        <v>600</v>
      </c>
      <c r="W38" s="86">
        <f t="shared" si="17"/>
        <v>796.25</v>
      </c>
      <c r="X38" s="86">
        <f t="shared" si="7"/>
        <v>796.25</v>
      </c>
      <c r="Y38" s="86">
        <f t="shared" si="8"/>
        <v>796.25</v>
      </c>
      <c r="Z38" s="86">
        <f t="shared" si="9"/>
        <v>796.25</v>
      </c>
      <c r="AA38" s="86">
        <f t="shared" si="10"/>
        <v>796.25</v>
      </c>
      <c r="AB38" s="86">
        <f t="shared" si="11"/>
        <v>796.25</v>
      </c>
      <c r="AC38" s="83">
        <f t="shared" si="12"/>
        <v>796.25</v>
      </c>
      <c r="AD38" s="83">
        <f t="shared" si="13"/>
        <v>0</v>
      </c>
      <c r="AE38" s="84">
        <f t="shared" si="18"/>
        <v>796.25</v>
      </c>
      <c r="AF38">
        <f t="shared" si="14"/>
        <v>796.25</v>
      </c>
      <c r="AG38" s="4">
        <f t="shared" si="19"/>
        <v>59</v>
      </c>
      <c r="AH38" s="5">
        <v>0</v>
      </c>
      <c r="AI38" s="5">
        <v>0</v>
      </c>
      <c r="AJ38" s="6">
        <v>1.32</v>
      </c>
      <c r="AK38" s="26"/>
    </row>
    <row r="39" spans="14:37" ht="14.25">
      <c r="N39" s="33">
        <f t="shared" si="0"/>
        <v>70</v>
      </c>
      <c r="O39" s="83">
        <f t="shared" si="1"/>
        <v>1837.5</v>
      </c>
      <c r="P39" s="83">
        <f t="shared" si="2"/>
        <v>3234</v>
      </c>
      <c r="Q39" s="132">
        <f t="shared" si="3"/>
        <v>2425.5</v>
      </c>
      <c r="R39" s="84">
        <f t="shared" si="15"/>
        <v>1837.5</v>
      </c>
      <c r="S39" s="83">
        <f t="shared" si="4"/>
        <v>0</v>
      </c>
      <c r="T39" s="83">
        <f t="shared" si="16"/>
        <v>0</v>
      </c>
      <c r="U39" s="85">
        <f t="shared" si="5"/>
        <v>67</v>
      </c>
      <c r="V39" s="83">
        <f t="shared" si="6"/>
        <v>600</v>
      </c>
      <c r="W39" s="86">
        <f t="shared" si="17"/>
        <v>796.25</v>
      </c>
      <c r="X39" s="86">
        <f t="shared" si="7"/>
        <v>796.25</v>
      </c>
      <c r="Y39" s="86">
        <f t="shared" si="8"/>
        <v>796.25</v>
      </c>
      <c r="Z39" s="86">
        <f t="shared" si="9"/>
        <v>796.25</v>
      </c>
      <c r="AA39" s="86">
        <f t="shared" si="10"/>
        <v>796.25</v>
      </c>
      <c r="AB39" s="86">
        <f t="shared" si="11"/>
        <v>796.25</v>
      </c>
      <c r="AC39" s="83">
        <f t="shared" si="12"/>
        <v>796.25</v>
      </c>
      <c r="AD39" s="83">
        <f t="shared" si="13"/>
        <v>0</v>
      </c>
      <c r="AE39" s="84">
        <f t="shared" si="18"/>
        <v>796.25</v>
      </c>
      <c r="AF39">
        <f t="shared" si="14"/>
        <v>796.25</v>
      </c>
      <c r="AG39" s="4">
        <f t="shared" si="19"/>
        <v>60</v>
      </c>
      <c r="AH39" s="5">
        <v>0</v>
      </c>
      <c r="AI39" s="5">
        <v>0</v>
      </c>
      <c r="AJ39" s="6">
        <v>1.32</v>
      </c>
      <c r="AK39" s="26"/>
    </row>
    <row r="40" spans="14:37" ht="14.25">
      <c r="N40" s="33">
        <f t="shared" si="0"/>
        <v>71</v>
      </c>
      <c r="O40" s="83">
        <f t="shared" si="1"/>
        <v>1837.5</v>
      </c>
      <c r="P40" s="83">
        <f t="shared" si="2"/>
        <v>3234</v>
      </c>
      <c r="Q40" s="132">
        <f t="shared" si="3"/>
        <v>2425.5</v>
      </c>
      <c r="R40" s="84">
        <f t="shared" si="15"/>
        <v>1837.5</v>
      </c>
      <c r="S40" s="83">
        <f t="shared" si="4"/>
        <v>0</v>
      </c>
      <c r="T40" s="83">
        <f t="shared" si="16"/>
        <v>0</v>
      </c>
      <c r="U40" s="85">
        <f t="shared" si="5"/>
        <v>68</v>
      </c>
      <c r="V40" s="83">
        <f t="shared" si="6"/>
        <v>600</v>
      </c>
      <c r="W40" s="86">
        <f t="shared" si="17"/>
        <v>796.25</v>
      </c>
      <c r="X40" s="86">
        <f t="shared" si="7"/>
        <v>796.25</v>
      </c>
      <c r="Y40" s="86">
        <f t="shared" si="8"/>
        <v>796.25</v>
      </c>
      <c r="Z40" s="86">
        <f t="shared" si="9"/>
        <v>796.25</v>
      </c>
      <c r="AA40" s="86">
        <f t="shared" si="10"/>
        <v>796.25</v>
      </c>
      <c r="AB40" s="86">
        <f t="shared" si="11"/>
        <v>796.25</v>
      </c>
      <c r="AC40" s="83">
        <f t="shared" si="12"/>
        <v>796.25</v>
      </c>
      <c r="AD40" s="83">
        <f t="shared" si="13"/>
        <v>0</v>
      </c>
      <c r="AE40" s="84">
        <f t="shared" si="18"/>
        <v>796.25</v>
      </c>
      <c r="AF40">
        <f t="shared" si="14"/>
        <v>796.25</v>
      </c>
      <c r="AG40" s="4">
        <f t="shared" si="19"/>
        <v>61</v>
      </c>
      <c r="AH40" s="5">
        <v>0</v>
      </c>
      <c r="AI40" s="5">
        <v>0</v>
      </c>
      <c r="AJ40" s="6">
        <v>1.32</v>
      </c>
      <c r="AK40" s="26"/>
    </row>
    <row r="41" spans="14:37" ht="14.25">
      <c r="N41" s="33">
        <f t="shared" si="0"/>
        <v>72</v>
      </c>
      <c r="O41" s="83">
        <f t="shared" si="1"/>
        <v>1837.5</v>
      </c>
      <c r="P41" s="83">
        <f t="shared" si="2"/>
        <v>3234</v>
      </c>
      <c r="Q41" s="132">
        <f t="shared" si="3"/>
        <v>2425.5</v>
      </c>
      <c r="R41" s="84">
        <f t="shared" si="15"/>
        <v>1837.5</v>
      </c>
      <c r="S41" s="83">
        <f t="shared" si="4"/>
        <v>0</v>
      </c>
      <c r="T41" s="83">
        <f t="shared" si="16"/>
        <v>0</v>
      </c>
      <c r="U41" s="85">
        <f t="shared" si="5"/>
        <v>69</v>
      </c>
      <c r="V41" s="83">
        <f t="shared" si="6"/>
        <v>600</v>
      </c>
      <c r="W41" s="86">
        <f t="shared" si="17"/>
        <v>796.25</v>
      </c>
      <c r="X41" s="86">
        <f t="shared" si="7"/>
        <v>796.25</v>
      </c>
      <c r="Y41" s="86">
        <f t="shared" si="8"/>
        <v>796.25</v>
      </c>
      <c r="Z41" s="86">
        <f t="shared" si="9"/>
        <v>796.25</v>
      </c>
      <c r="AA41" s="86">
        <f t="shared" si="10"/>
        <v>796.25</v>
      </c>
      <c r="AB41" s="86">
        <f t="shared" si="11"/>
        <v>796.25</v>
      </c>
      <c r="AC41" s="83">
        <f t="shared" si="12"/>
        <v>796.25</v>
      </c>
      <c r="AD41" s="83">
        <f t="shared" si="13"/>
        <v>0</v>
      </c>
      <c r="AE41" s="84">
        <f t="shared" si="18"/>
        <v>796.25</v>
      </c>
      <c r="AF41">
        <f t="shared" si="14"/>
        <v>796.25</v>
      </c>
      <c r="AG41" s="4">
        <f t="shared" si="19"/>
        <v>62</v>
      </c>
      <c r="AH41" s="5">
        <v>0.75</v>
      </c>
      <c r="AI41" s="5">
        <v>0.325</v>
      </c>
      <c r="AJ41" s="6">
        <v>1.32</v>
      </c>
      <c r="AK41" s="26"/>
    </row>
    <row r="42" spans="14:37" ht="14.25">
      <c r="N42" s="33">
        <f t="shared" si="0"/>
        <v>73</v>
      </c>
      <c r="O42" s="83">
        <f t="shared" si="1"/>
        <v>1837.5</v>
      </c>
      <c r="P42" s="83">
        <f t="shared" si="2"/>
        <v>3234</v>
      </c>
      <c r="Q42" s="132">
        <f t="shared" si="3"/>
        <v>2425.5</v>
      </c>
      <c r="R42" s="84">
        <f t="shared" si="15"/>
        <v>1837.5</v>
      </c>
      <c r="S42" s="83">
        <f t="shared" si="4"/>
        <v>0</v>
      </c>
      <c r="T42" s="83">
        <f t="shared" si="16"/>
        <v>0</v>
      </c>
      <c r="U42" s="85">
        <f t="shared" si="5"/>
        <v>70</v>
      </c>
      <c r="V42" s="83">
        <f t="shared" si="6"/>
        <v>600</v>
      </c>
      <c r="W42" s="86">
        <f t="shared" si="17"/>
        <v>796.25</v>
      </c>
      <c r="X42" s="86">
        <f t="shared" si="7"/>
        <v>796.25</v>
      </c>
      <c r="Y42" s="86">
        <f t="shared" si="8"/>
        <v>796.25</v>
      </c>
      <c r="Z42" s="86">
        <f t="shared" si="9"/>
        <v>796.25</v>
      </c>
      <c r="AA42" s="86">
        <f t="shared" si="10"/>
        <v>796.25</v>
      </c>
      <c r="AB42" s="86">
        <f t="shared" si="11"/>
        <v>796.25</v>
      </c>
      <c r="AC42" s="83">
        <f t="shared" si="12"/>
        <v>796.25</v>
      </c>
      <c r="AD42" s="83">
        <f t="shared" si="13"/>
        <v>0</v>
      </c>
      <c r="AE42" s="84">
        <f t="shared" si="18"/>
        <v>796.25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6">
        <v>1.32</v>
      </c>
      <c r="AK42" s="26"/>
    </row>
    <row r="43" spans="14:36" ht="14.25">
      <c r="N43" s="33">
        <f t="shared" si="0"/>
        <v>74</v>
      </c>
      <c r="O43" s="83">
        <f t="shared" si="1"/>
        <v>1837.5</v>
      </c>
      <c r="P43" s="83">
        <f t="shared" si="2"/>
        <v>3234</v>
      </c>
      <c r="Q43" s="132">
        <f t="shared" si="3"/>
        <v>2425.5</v>
      </c>
      <c r="R43" s="84">
        <f t="shared" si="15"/>
        <v>1837.5</v>
      </c>
      <c r="S43" s="83">
        <f t="shared" si="4"/>
        <v>0</v>
      </c>
      <c r="T43" s="83">
        <f t="shared" si="16"/>
        <v>0</v>
      </c>
      <c r="U43" s="85">
        <f t="shared" si="5"/>
        <v>71</v>
      </c>
      <c r="V43" s="83">
        <f t="shared" si="6"/>
        <v>600</v>
      </c>
      <c r="W43" s="86">
        <f t="shared" si="17"/>
        <v>796.25</v>
      </c>
      <c r="X43" s="86">
        <f t="shared" si="7"/>
        <v>796.25</v>
      </c>
      <c r="Y43" s="86">
        <f t="shared" si="8"/>
        <v>796.25</v>
      </c>
      <c r="Z43" s="86">
        <f t="shared" si="9"/>
        <v>796.25</v>
      </c>
      <c r="AA43" s="86">
        <f t="shared" si="10"/>
        <v>796.25</v>
      </c>
      <c r="AB43" s="86">
        <f t="shared" si="11"/>
        <v>796.25</v>
      </c>
      <c r="AC43" s="83">
        <f t="shared" si="12"/>
        <v>796.25</v>
      </c>
      <c r="AD43" s="83">
        <f t="shared" si="13"/>
        <v>0</v>
      </c>
      <c r="AE43" s="84">
        <f t="shared" si="18"/>
        <v>796.25</v>
      </c>
      <c r="AF43">
        <f t="shared" si="14"/>
        <v>0</v>
      </c>
      <c r="AG43" s="4">
        <f t="shared" si="19"/>
        <v>64</v>
      </c>
      <c r="AH43" s="5">
        <v>0.875</v>
      </c>
      <c r="AI43" s="5">
        <v>0.4125</v>
      </c>
      <c r="AJ43" s="6">
        <v>1.32</v>
      </c>
    </row>
    <row r="44" spans="14:36" ht="14.25">
      <c r="N44" s="33">
        <f t="shared" si="0"/>
        <v>75</v>
      </c>
      <c r="O44" s="83">
        <f t="shared" si="1"/>
        <v>1837.5</v>
      </c>
      <c r="P44" s="83">
        <f t="shared" si="2"/>
        <v>3234</v>
      </c>
      <c r="Q44" s="132">
        <f t="shared" si="3"/>
        <v>2425.5</v>
      </c>
      <c r="R44" s="84">
        <f t="shared" si="15"/>
        <v>1837.5</v>
      </c>
      <c r="S44" s="83">
        <f t="shared" si="4"/>
        <v>0</v>
      </c>
      <c r="T44" s="83">
        <f t="shared" si="16"/>
        <v>0</v>
      </c>
      <c r="U44" s="85">
        <f t="shared" si="5"/>
        <v>72</v>
      </c>
      <c r="V44" s="83">
        <f t="shared" si="6"/>
        <v>600</v>
      </c>
      <c r="W44" s="86">
        <f t="shared" si="17"/>
        <v>796.25</v>
      </c>
      <c r="X44" s="86">
        <f t="shared" si="7"/>
        <v>796.25</v>
      </c>
      <c r="Y44" s="86">
        <f t="shared" si="8"/>
        <v>796.25</v>
      </c>
      <c r="Z44" s="86">
        <f t="shared" si="9"/>
        <v>796.25</v>
      </c>
      <c r="AA44" s="86">
        <f t="shared" si="10"/>
        <v>796.25</v>
      </c>
      <c r="AB44" s="86">
        <f t="shared" si="11"/>
        <v>796.25</v>
      </c>
      <c r="AC44" s="83">
        <f t="shared" si="12"/>
        <v>796.25</v>
      </c>
      <c r="AD44" s="83">
        <f t="shared" si="13"/>
        <v>0</v>
      </c>
      <c r="AE44" s="84">
        <f t="shared" si="18"/>
        <v>796.25</v>
      </c>
      <c r="AF44">
        <f t="shared" si="14"/>
        <v>0</v>
      </c>
      <c r="AG44" s="4">
        <f t="shared" si="19"/>
        <v>65</v>
      </c>
      <c r="AH44" s="5">
        <v>0.9375</v>
      </c>
      <c r="AI44" s="5">
        <v>0.45625</v>
      </c>
      <c r="AJ44" s="6">
        <v>1.32</v>
      </c>
    </row>
    <row r="45" spans="14:36" ht="14.25">
      <c r="N45" s="33">
        <f t="shared" si="0"/>
        <v>76</v>
      </c>
      <c r="O45" s="83">
        <f t="shared" si="1"/>
        <v>1837.5</v>
      </c>
      <c r="P45" s="83">
        <f t="shared" si="2"/>
        <v>3234</v>
      </c>
      <c r="Q45" s="132">
        <f t="shared" si="3"/>
        <v>2425.5</v>
      </c>
      <c r="R45" s="84">
        <f t="shared" si="15"/>
        <v>1837.5</v>
      </c>
      <c r="S45" s="83">
        <f t="shared" si="4"/>
        <v>0</v>
      </c>
      <c r="T45" s="83">
        <f t="shared" si="16"/>
        <v>0</v>
      </c>
      <c r="U45" s="85">
        <f t="shared" si="5"/>
        <v>73</v>
      </c>
      <c r="V45" s="83">
        <f t="shared" si="6"/>
        <v>600</v>
      </c>
      <c r="W45" s="86">
        <f t="shared" si="17"/>
        <v>796.25</v>
      </c>
      <c r="X45" s="86">
        <f t="shared" si="7"/>
        <v>796.25</v>
      </c>
      <c r="Y45" s="86">
        <f t="shared" si="8"/>
        <v>796.25</v>
      </c>
      <c r="Z45" s="86">
        <f t="shared" si="9"/>
        <v>796.25</v>
      </c>
      <c r="AA45" s="86">
        <f t="shared" si="10"/>
        <v>796.25</v>
      </c>
      <c r="AB45" s="86">
        <f t="shared" si="11"/>
        <v>796.25</v>
      </c>
      <c r="AC45" s="83">
        <f t="shared" si="12"/>
        <v>796.25</v>
      </c>
      <c r="AD45" s="83">
        <f t="shared" si="13"/>
        <v>0</v>
      </c>
      <c r="AE45" s="84">
        <f t="shared" si="18"/>
        <v>796.25</v>
      </c>
      <c r="AF45">
        <f t="shared" si="14"/>
        <v>0</v>
      </c>
      <c r="AG45" s="4">
        <f t="shared" si="19"/>
        <v>66</v>
      </c>
      <c r="AH45" s="5">
        <v>1</v>
      </c>
      <c r="AI45" s="5">
        <v>0.5</v>
      </c>
      <c r="AJ45" s="6">
        <v>1.32</v>
      </c>
    </row>
    <row r="46" spans="1:36" ht="14.25">
      <c r="A46" s="28"/>
      <c r="B46" t="s">
        <v>67</v>
      </c>
      <c r="C46" s="28"/>
      <c r="D46" s="28"/>
      <c r="E46" t="s">
        <v>69</v>
      </c>
      <c r="F46" s="28"/>
      <c r="G46" s="28"/>
      <c r="H46" s="28"/>
      <c r="I46" s="28"/>
      <c r="N46" s="33">
        <f t="shared" si="0"/>
        <v>77</v>
      </c>
      <c r="O46" s="83">
        <f t="shared" si="1"/>
        <v>1837.5</v>
      </c>
      <c r="P46" s="83">
        <f t="shared" si="2"/>
        <v>3234</v>
      </c>
      <c r="Q46" s="132">
        <f t="shared" si="3"/>
        <v>2425.5</v>
      </c>
      <c r="R46" s="84">
        <f t="shared" si="15"/>
        <v>1837.5</v>
      </c>
      <c r="S46" s="83">
        <f t="shared" si="4"/>
        <v>0</v>
      </c>
      <c r="T46" s="83">
        <f t="shared" si="16"/>
        <v>0</v>
      </c>
      <c r="U46" s="85">
        <f t="shared" si="5"/>
        <v>74</v>
      </c>
      <c r="V46" s="83">
        <f t="shared" si="6"/>
        <v>600</v>
      </c>
      <c r="W46" s="86">
        <f t="shared" si="17"/>
        <v>796.25</v>
      </c>
      <c r="X46" s="86">
        <f t="shared" si="7"/>
        <v>796.25</v>
      </c>
      <c r="Y46" s="86">
        <f t="shared" si="8"/>
        <v>796.25</v>
      </c>
      <c r="Z46" s="86">
        <f t="shared" si="9"/>
        <v>796.25</v>
      </c>
      <c r="AA46" s="86">
        <f t="shared" si="10"/>
        <v>796.25</v>
      </c>
      <c r="AB46" s="86">
        <f t="shared" si="11"/>
        <v>796.25</v>
      </c>
      <c r="AC46" s="83">
        <f t="shared" si="12"/>
        <v>796.25</v>
      </c>
      <c r="AD46" s="83">
        <f aca="true" t="shared" si="20" ref="AD46:AD60">IF(R46&gt;AC46,R46,AC46)*IF(C66&lt;$D$17,0,1)</f>
        <v>0</v>
      </c>
      <c r="AE46" s="84">
        <f t="shared" si="18"/>
        <v>796.25</v>
      </c>
      <c r="AF46">
        <f t="shared" si="14"/>
        <v>0</v>
      </c>
      <c r="AG46" s="4">
        <f>AG45+1</f>
        <v>67</v>
      </c>
      <c r="AH46" s="5">
        <v>1.08</v>
      </c>
      <c r="AI46" s="5">
        <v>0.5</v>
      </c>
      <c r="AJ46" s="6">
        <v>1.24</v>
      </c>
    </row>
    <row r="47" spans="1:36" ht="14.25" hidden="1">
      <c r="A47" s="66"/>
      <c r="B47" s="67" t="s">
        <v>14</v>
      </c>
      <c r="C47" s="68" t="s">
        <v>27</v>
      </c>
      <c r="D47" s="69"/>
      <c r="E47" s="70" t="s">
        <v>28</v>
      </c>
      <c r="F47" s="71"/>
      <c r="G47" s="70" t="s">
        <v>29</v>
      </c>
      <c r="H47" s="72"/>
      <c r="I47" s="72"/>
      <c r="J47" s="73"/>
      <c r="K47" s="74" t="s">
        <v>25</v>
      </c>
      <c r="L47" s="28"/>
      <c r="N47" s="33">
        <f aca="true" t="shared" si="21" ref="N47:N60">C67</f>
        <v>78</v>
      </c>
      <c r="O47" s="83">
        <f t="shared" si="1"/>
        <v>1837.5</v>
      </c>
      <c r="P47" s="83">
        <f t="shared" si="2"/>
        <v>3234</v>
      </c>
      <c r="Q47" s="132">
        <f t="shared" si="3"/>
        <v>2425.5</v>
      </c>
      <c r="R47" s="84">
        <f t="shared" si="15"/>
        <v>1837.5</v>
      </c>
      <c r="S47" s="83">
        <f t="shared" si="4"/>
        <v>0</v>
      </c>
      <c r="T47" s="83">
        <f t="shared" si="16"/>
        <v>0</v>
      </c>
      <c r="U47" s="85">
        <f aca="true" t="shared" si="22" ref="U47:U60">D67</f>
        <v>75</v>
      </c>
      <c r="V47" s="83">
        <f t="shared" si="6"/>
        <v>600</v>
      </c>
      <c r="W47" s="86">
        <f t="shared" si="17"/>
        <v>796.25</v>
      </c>
      <c r="X47" s="86">
        <f t="shared" si="7"/>
        <v>796.25</v>
      </c>
      <c r="Y47" s="86">
        <f t="shared" si="8"/>
        <v>796.25</v>
      </c>
      <c r="Z47" s="86">
        <f t="shared" si="9"/>
        <v>796.25</v>
      </c>
      <c r="AA47" s="86">
        <f t="shared" si="10"/>
        <v>796.25</v>
      </c>
      <c r="AB47" s="86">
        <f t="shared" si="11"/>
        <v>796.25</v>
      </c>
      <c r="AC47" s="83">
        <f t="shared" si="12"/>
        <v>796.25</v>
      </c>
      <c r="AD47" s="83">
        <f t="shared" si="20"/>
        <v>0</v>
      </c>
      <c r="AE47" s="84">
        <f t="shared" si="18"/>
        <v>796.25</v>
      </c>
      <c r="AF47">
        <f t="shared" si="14"/>
        <v>0</v>
      </c>
      <c r="AG47" s="4">
        <f>AG46+1</f>
        <v>68</v>
      </c>
      <c r="AH47" s="5">
        <v>1.16</v>
      </c>
      <c r="AI47" s="5">
        <v>0.5</v>
      </c>
      <c r="AJ47" s="6">
        <v>1.16</v>
      </c>
    </row>
    <row r="48" spans="1:36" ht="14.25" hidden="1">
      <c r="A48" s="66"/>
      <c r="B48" s="75">
        <f>D23</f>
        <v>0.045</v>
      </c>
      <c r="C48" s="76" t="s">
        <v>24</v>
      </c>
      <c r="D48" s="76" t="s">
        <v>23</v>
      </c>
      <c r="E48" s="76" t="s">
        <v>19</v>
      </c>
      <c r="F48" s="76" t="s">
        <v>18</v>
      </c>
      <c r="G48" s="76" t="s">
        <v>19</v>
      </c>
      <c r="H48" s="76" t="s">
        <v>43</v>
      </c>
      <c r="I48" s="76" t="s">
        <v>18</v>
      </c>
      <c r="J48" s="76" t="s">
        <v>43</v>
      </c>
      <c r="K48" s="158" t="s">
        <v>26</v>
      </c>
      <c r="L48" s="28"/>
      <c r="N48" s="33">
        <f t="shared" si="21"/>
        <v>79</v>
      </c>
      <c r="O48" s="83">
        <f t="shared" si="1"/>
        <v>1837.5</v>
      </c>
      <c r="P48" s="83">
        <f t="shared" si="2"/>
        <v>3234</v>
      </c>
      <c r="Q48" s="132">
        <f t="shared" si="3"/>
        <v>2425.5</v>
      </c>
      <c r="R48" s="84">
        <f t="shared" si="15"/>
        <v>1837.5</v>
      </c>
      <c r="S48" s="83">
        <f t="shared" si="4"/>
        <v>0</v>
      </c>
      <c r="T48" s="83">
        <f t="shared" si="16"/>
        <v>0</v>
      </c>
      <c r="U48" s="85">
        <f t="shared" si="22"/>
        <v>76</v>
      </c>
      <c r="V48" s="83">
        <f t="shared" si="6"/>
        <v>600</v>
      </c>
      <c r="W48" s="86">
        <f t="shared" si="17"/>
        <v>796.25</v>
      </c>
      <c r="X48" s="86">
        <f t="shared" si="7"/>
        <v>796.25</v>
      </c>
      <c r="Y48" s="86">
        <f t="shared" si="8"/>
        <v>796.25</v>
      </c>
      <c r="Z48" s="86">
        <f t="shared" si="9"/>
        <v>796.25</v>
      </c>
      <c r="AA48" s="86">
        <f t="shared" si="10"/>
        <v>796.25</v>
      </c>
      <c r="AB48" s="86">
        <f t="shared" si="11"/>
        <v>796.25</v>
      </c>
      <c r="AC48" s="83">
        <f t="shared" si="12"/>
        <v>796.25</v>
      </c>
      <c r="AD48" s="83">
        <f t="shared" si="20"/>
        <v>0</v>
      </c>
      <c r="AE48" s="84">
        <f t="shared" si="18"/>
        <v>796.25</v>
      </c>
      <c r="AF48">
        <f t="shared" si="14"/>
        <v>0</v>
      </c>
      <c r="AG48" s="4">
        <f t="shared" si="19"/>
        <v>69</v>
      </c>
      <c r="AH48" s="5">
        <v>1.24</v>
      </c>
      <c r="AI48" s="5">
        <v>0.5</v>
      </c>
      <c r="AJ48" s="6">
        <v>1.08</v>
      </c>
    </row>
    <row r="49" spans="1:36" ht="14.25" hidden="1">
      <c r="A49" s="66"/>
      <c r="B49" s="77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3" ref="K49:K80">(E49+F49+G49+I49)*12</f>
        <v>0</v>
      </c>
      <c r="L49" s="28"/>
      <c r="N49" s="33">
        <f t="shared" si="21"/>
        <v>80</v>
      </c>
      <c r="O49" s="83">
        <f t="shared" si="1"/>
        <v>1837.5</v>
      </c>
      <c r="P49" s="83">
        <f t="shared" si="2"/>
        <v>3234</v>
      </c>
      <c r="Q49" s="132">
        <f t="shared" si="3"/>
        <v>2425.5</v>
      </c>
      <c r="R49" s="84">
        <f t="shared" si="15"/>
        <v>1837.5</v>
      </c>
      <c r="S49" s="83">
        <f t="shared" si="4"/>
        <v>0</v>
      </c>
      <c r="T49" s="83">
        <f t="shared" si="16"/>
        <v>0</v>
      </c>
      <c r="U49" s="85">
        <f t="shared" si="22"/>
        <v>77</v>
      </c>
      <c r="V49" s="83">
        <f t="shared" si="6"/>
        <v>600</v>
      </c>
      <c r="W49" s="86">
        <f t="shared" si="17"/>
        <v>796.25</v>
      </c>
      <c r="X49" s="86">
        <f t="shared" si="7"/>
        <v>796.25</v>
      </c>
      <c r="Y49" s="86">
        <f t="shared" si="8"/>
        <v>796.25</v>
      </c>
      <c r="Z49" s="86">
        <f t="shared" si="9"/>
        <v>796.25</v>
      </c>
      <c r="AA49" s="86">
        <f t="shared" si="10"/>
        <v>796.25</v>
      </c>
      <c r="AB49" s="86">
        <f t="shared" si="11"/>
        <v>796.25</v>
      </c>
      <c r="AC49" s="83">
        <f t="shared" si="12"/>
        <v>796.25</v>
      </c>
      <c r="AD49" s="83">
        <f t="shared" si="20"/>
        <v>1837.5</v>
      </c>
      <c r="AE49" s="84">
        <f t="shared" si="18"/>
        <v>1837.5</v>
      </c>
      <c r="AF49">
        <f t="shared" si="14"/>
        <v>0</v>
      </c>
      <c r="AG49" s="4">
        <f t="shared" si="19"/>
        <v>70</v>
      </c>
      <c r="AH49" s="5">
        <v>1.32</v>
      </c>
      <c r="AI49" s="5">
        <v>0.5</v>
      </c>
      <c r="AJ49" s="6">
        <v>1</v>
      </c>
    </row>
    <row r="50" spans="1:36" ht="14.25" hidden="1">
      <c r="A50" s="66"/>
      <c r="B50" s="81">
        <f aca="true" t="shared" si="24" ref="B50:B81">B49/(1+$B$48)</f>
        <v>0.9569377990430623</v>
      </c>
      <c r="C50" s="82">
        <f aca="true" t="shared" si="25" ref="C50:C81">C49+1</f>
        <v>61</v>
      </c>
      <c r="D50" s="82">
        <f aca="true" t="shared" si="26" ref="D50:D81">D49+1</f>
        <v>58</v>
      </c>
      <c r="E50" s="79">
        <f aca="true" t="shared" si="27" ref="E50:E100">R30*IF(C50&lt;$D$17,1,0)*IF(C50&lt;$D$15,0,1)</f>
        <v>0</v>
      </c>
      <c r="F50" s="79">
        <f aca="true" t="shared" si="28" ref="F50:F65">AE30*IF(D50&lt;$E$17,1,0)*IF($C$9=1,0,1)</f>
        <v>0</v>
      </c>
      <c r="G50" s="79">
        <f aca="true" t="shared" si="29" ref="G50:G100">($D$18*IF(C50&lt;$D$20,0,1)*IF(C50&gt;$D$17-1,0,1)*IF($H$18=TRUE,1,B50)+H50*IF($C$9=1,0,1))*IF(C50&lt;$D$15,0,1)</f>
        <v>0</v>
      </c>
      <c r="H50" s="79">
        <f aca="true" t="shared" si="30" ref="H50:H100">IF(C50&gt;$D$17-1,1,0)*IF(D50&lt;$E$17,1,0)*$D$18*$D$19*IF($I$18=TRUE,1,B50)*IF($C$9=1,0,1)</f>
        <v>0</v>
      </c>
      <c r="I50" s="79">
        <f aca="true" t="shared" si="31" ref="I50:I100">(IF($C$9=1,0,1)*($E$18*IF(D50&lt;$E$20,0,1)*IF(D50&gt;$E$17-1,0,1)*IF($I$18=TRUE,1,B50)+J50))*IF(C50&lt;$D$15,0,1)</f>
        <v>0</v>
      </c>
      <c r="J50" s="79">
        <f aca="true" t="shared" si="32" ref="J50:J100">IF(D50&gt;$E$17-1,1,0)*IF(C50&lt;$D$17,1,0)*$E$18*$E$19*IF($E$18=TRUE,1,B50)*IF($C$9=1,0,1)</f>
        <v>0</v>
      </c>
      <c r="K50" s="80">
        <f t="shared" si="23"/>
        <v>0</v>
      </c>
      <c r="L50" s="28"/>
      <c r="N50" s="33">
        <f t="shared" si="21"/>
        <v>81</v>
      </c>
      <c r="O50" s="83">
        <f t="shared" si="1"/>
        <v>1837.5</v>
      </c>
      <c r="P50" s="83">
        <f t="shared" si="2"/>
        <v>3234</v>
      </c>
      <c r="Q50" s="132">
        <f t="shared" si="3"/>
        <v>2425.5</v>
      </c>
      <c r="R50" s="84">
        <f t="shared" si="15"/>
        <v>1837.5</v>
      </c>
      <c r="S50" s="83">
        <f t="shared" si="4"/>
        <v>0</v>
      </c>
      <c r="T50" s="83">
        <f t="shared" si="16"/>
        <v>0</v>
      </c>
      <c r="U50" s="85">
        <f t="shared" si="22"/>
        <v>78</v>
      </c>
      <c r="V50" s="83">
        <f t="shared" si="6"/>
        <v>600</v>
      </c>
      <c r="W50" s="86">
        <f t="shared" si="17"/>
        <v>796.25</v>
      </c>
      <c r="X50" s="86">
        <f t="shared" si="7"/>
        <v>796.25</v>
      </c>
      <c r="Y50" s="86">
        <f t="shared" si="8"/>
        <v>796.25</v>
      </c>
      <c r="Z50" s="86">
        <f t="shared" si="9"/>
        <v>796.25</v>
      </c>
      <c r="AA50" s="86">
        <f t="shared" si="10"/>
        <v>796.25</v>
      </c>
      <c r="AB50" s="86">
        <f t="shared" si="11"/>
        <v>796.25</v>
      </c>
      <c r="AC50" s="83">
        <f t="shared" si="12"/>
        <v>796.25</v>
      </c>
      <c r="AD50" s="83">
        <f t="shared" si="20"/>
        <v>1837.5</v>
      </c>
      <c r="AE50" s="84">
        <f t="shared" si="18"/>
        <v>1837.5</v>
      </c>
      <c r="AF50">
        <f t="shared" si="14"/>
        <v>0</v>
      </c>
      <c r="AG50" s="4">
        <f t="shared" si="19"/>
        <v>71</v>
      </c>
      <c r="AH50" s="5">
        <v>1.32</v>
      </c>
      <c r="AI50" s="5">
        <v>0.5</v>
      </c>
      <c r="AJ50" s="6">
        <v>1</v>
      </c>
    </row>
    <row r="51" spans="1:36" ht="14.25" hidden="1">
      <c r="A51" s="66"/>
      <c r="B51" s="81">
        <f t="shared" si="24"/>
        <v>0.9157299512373802</v>
      </c>
      <c r="C51" s="82">
        <f t="shared" si="25"/>
        <v>62</v>
      </c>
      <c r="D51" s="82">
        <f t="shared" si="26"/>
        <v>59</v>
      </c>
      <c r="E51" s="79">
        <f t="shared" si="27"/>
        <v>1837.5</v>
      </c>
      <c r="F51" s="79">
        <f t="shared" si="28"/>
        <v>0</v>
      </c>
      <c r="G51" s="79">
        <f t="shared" si="29"/>
        <v>0</v>
      </c>
      <c r="H51" s="79">
        <f t="shared" si="30"/>
        <v>0</v>
      </c>
      <c r="I51" s="79">
        <f t="shared" si="31"/>
        <v>0</v>
      </c>
      <c r="J51" s="79">
        <f t="shared" si="32"/>
        <v>0</v>
      </c>
      <c r="K51" s="80">
        <f t="shared" si="23"/>
        <v>22050</v>
      </c>
      <c r="L51" s="28"/>
      <c r="N51" s="33">
        <f t="shared" si="21"/>
        <v>82</v>
      </c>
      <c r="O51" s="83">
        <f t="shared" si="1"/>
        <v>1837.5</v>
      </c>
      <c r="P51" s="83">
        <f t="shared" si="2"/>
        <v>3234</v>
      </c>
      <c r="Q51" s="132">
        <f t="shared" si="3"/>
        <v>2425.5</v>
      </c>
      <c r="R51" s="84">
        <f t="shared" si="15"/>
        <v>1837.5</v>
      </c>
      <c r="S51" s="83">
        <f t="shared" si="4"/>
        <v>0</v>
      </c>
      <c r="T51" s="83">
        <f t="shared" si="16"/>
        <v>0</v>
      </c>
      <c r="U51" s="85">
        <f t="shared" si="22"/>
        <v>79</v>
      </c>
      <c r="V51" s="83">
        <f t="shared" si="6"/>
        <v>600</v>
      </c>
      <c r="W51" s="86">
        <f t="shared" si="17"/>
        <v>796.25</v>
      </c>
      <c r="X51" s="86">
        <f t="shared" si="7"/>
        <v>796.25</v>
      </c>
      <c r="Y51" s="86">
        <f t="shared" si="8"/>
        <v>796.25</v>
      </c>
      <c r="Z51" s="86">
        <f t="shared" si="9"/>
        <v>796.25</v>
      </c>
      <c r="AA51" s="86">
        <f t="shared" si="10"/>
        <v>796.25</v>
      </c>
      <c r="AB51" s="86">
        <f t="shared" si="11"/>
        <v>796.25</v>
      </c>
      <c r="AC51" s="83">
        <f t="shared" si="12"/>
        <v>796.25</v>
      </c>
      <c r="AD51" s="83">
        <f t="shared" si="20"/>
        <v>1837.5</v>
      </c>
      <c r="AE51" s="84">
        <f t="shared" si="18"/>
        <v>1837.5</v>
      </c>
      <c r="AF51">
        <f t="shared" si="14"/>
        <v>0</v>
      </c>
      <c r="AG51" s="4">
        <f t="shared" si="19"/>
        <v>72</v>
      </c>
      <c r="AH51" s="5">
        <v>1.32</v>
      </c>
      <c r="AI51" s="5">
        <v>0.5</v>
      </c>
      <c r="AJ51" s="6">
        <v>1</v>
      </c>
    </row>
    <row r="52" spans="1:36" ht="14.25" hidden="1">
      <c r="A52" s="66"/>
      <c r="B52" s="81">
        <f t="shared" si="24"/>
        <v>0.8762966040549094</v>
      </c>
      <c r="C52" s="82">
        <f t="shared" si="25"/>
        <v>63</v>
      </c>
      <c r="D52" s="82">
        <f t="shared" si="26"/>
        <v>60</v>
      </c>
      <c r="E52" s="79">
        <f t="shared" si="27"/>
        <v>1837.5</v>
      </c>
      <c r="F52" s="79">
        <f t="shared" si="28"/>
        <v>0</v>
      </c>
      <c r="G52" s="79">
        <f t="shared" si="29"/>
        <v>0</v>
      </c>
      <c r="H52" s="79">
        <f t="shared" si="30"/>
        <v>0</v>
      </c>
      <c r="I52" s="79">
        <f t="shared" si="31"/>
        <v>0</v>
      </c>
      <c r="J52" s="79">
        <f t="shared" si="32"/>
        <v>0</v>
      </c>
      <c r="K52" s="80">
        <f t="shared" si="23"/>
        <v>22050</v>
      </c>
      <c r="L52" s="28"/>
      <c r="N52" s="33">
        <f t="shared" si="21"/>
        <v>83</v>
      </c>
      <c r="O52" s="83">
        <f t="shared" si="1"/>
        <v>1837.5</v>
      </c>
      <c r="P52" s="83">
        <f t="shared" si="2"/>
        <v>3234</v>
      </c>
      <c r="Q52" s="132">
        <f t="shared" si="3"/>
        <v>2425.5</v>
      </c>
      <c r="R52" s="84">
        <f t="shared" si="15"/>
        <v>1837.5</v>
      </c>
      <c r="S52" s="83">
        <f t="shared" si="4"/>
        <v>0</v>
      </c>
      <c r="T52" s="83">
        <f t="shared" si="16"/>
        <v>0</v>
      </c>
      <c r="U52" s="85">
        <f t="shared" si="22"/>
        <v>80</v>
      </c>
      <c r="V52" s="83">
        <f t="shared" si="6"/>
        <v>600</v>
      </c>
      <c r="W52" s="86">
        <f t="shared" si="17"/>
        <v>796.25</v>
      </c>
      <c r="X52" s="86">
        <f t="shared" si="7"/>
        <v>796.25</v>
      </c>
      <c r="Y52" s="86">
        <f t="shared" si="8"/>
        <v>796.25</v>
      </c>
      <c r="Z52" s="86">
        <f t="shared" si="9"/>
        <v>796.25</v>
      </c>
      <c r="AA52" s="86">
        <f t="shared" si="10"/>
        <v>796.25</v>
      </c>
      <c r="AB52" s="86">
        <f t="shared" si="11"/>
        <v>796.25</v>
      </c>
      <c r="AC52" s="83">
        <f t="shared" si="12"/>
        <v>796.25</v>
      </c>
      <c r="AD52" s="83">
        <f t="shared" si="20"/>
        <v>1837.5</v>
      </c>
      <c r="AE52" s="84">
        <f t="shared" si="18"/>
        <v>1837.5</v>
      </c>
      <c r="AF52">
        <f t="shared" si="14"/>
        <v>0</v>
      </c>
      <c r="AG52" s="4">
        <f t="shared" si="19"/>
        <v>73</v>
      </c>
      <c r="AH52" s="5">
        <v>1.32</v>
      </c>
      <c r="AI52" s="5">
        <v>0.5</v>
      </c>
      <c r="AJ52" s="6">
        <v>1</v>
      </c>
    </row>
    <row r="53" spans="1:36" ht="14.25" hidden="1">
      <c r="A53" s="66"/>
      <c r="B53" s="81">
        <f t="shared" si="24"/>
        <v>0.8385613435932148</v>
      </c>
      <c r="C53" s="82">
        <f t="shared" si="25"/>
        <v>64</v>
      </c>
      <c r="D53" s="82">
        <f t="shared" si="26"/>
        <v>61</v>
      </c>
      <c r="E53" s="79">
        <f t="shared" si="27"/>
        <v>1837.5</v>
      </c>
      <c r="F53" s="79">
        <f t="shared" si="28"/>
        <v>0</v>
      </c>
      <c r="G53" s="79">
        <f t="shared" si="29"/>
        <v>0</v>
      </c>
      <c r="H53" s="79">
        <f t="shared" si="30"/>
        <v>0</v>
      </c>
      <c r="I53" s="79">
        <f t="shared" si="31"/>
        <v>0</v>
      </c>
      <c r="J53" s="79">
        <f t="shared" si="32"/>
        <v>0</v>
      </c>
      <c r="K53" s="80">
        <f t="shared" si="23"/>
        <v>22050</v>
      </c>
      <c r="L53" s="28"/>
      <c r="N53" s="33">
        <f t="shared" si="21"/>
        <v>84</v>
      </c>
      <c r="O53" s="83">
        <f t="shared" si="1"/>
        <v>1837.5</v>
      </c>
      <c r="P53" s="83">
        <f t="shared" si="2"/>
        <v>3234</v>
      </c>
      <c r="Q53" s="132">
        <f t="shared" si="3"/>
        <v>2425.5</v>
      </c>
      <c r="R53" s="84">
        <f t="shared" si="15"/>
        <v>1837.5</v>
      </c>
      <c r="S53" s="83">
        <f t="shared" si="4"/>
        <v>0</v>
      </c>
      <c r="T53" s="83">
        <f t="shared" si="16"/>
        <v>0</v>
      </c>
      <c r="U53" s="85">
        <f t="shared" si="22"/>
        <v>81</v>
      </c>
      <c r="V53" s="83">
        <f t="shared" si="6"/>
        <v>600</v>
      </c>
      <c r="W53" s="86">
        <f t="shared" si="17"/>
        <v>796.25</v>
      </c>
      <c r="X53" s="86">
        <f t="shared" si="7"/>
        <v>796.25</v>
      </c>
      <c r="Y53" s="86">
        <f t="shared" si="8"/>
        <v>796.25</v>
      </c>
      <c r="Z53" s="86">
        <f t="shared" si="9"/>
        <v>796.25</v>
      </c>
      <c r="AA53" s="86">
        <f t="shared" si="10"/>
        <v>796.25</v>
      </c>
      <c r="AB53" s="86">
        <f t="shared" si="11"/>
        <v>796.25</v>
      </c>
      <c r="AC53" s="83">
        <f t="shared" si="12"/>
        <v>796.25</v>
      </c>
      <c r="AD53" s="83">
        <f t="shared" si="20"/>
        <v>1837.5</v>
      </c>
      <c r="AE53" s="84">
        <f t="shared" si="18"/>
        <v>1837.5</v>
      </c>
      <c r="AF53">
        <f t="shared" si="14"/>
        <v>0</v>
      </c>
      <c r="AG53" s="4">
        <f t="shared" si="19"/>
        <v>74</v>
      </c>
      <c r="AH53" s="5">
        <v>1.32</v>
      </c>
      <c r="AI53" s="5">
        <v>0.5</v>
      </c>
      <c r="AJ53" s="6">
        <v>1</v>
      </c>
    </row>
    <row r="54" spans="1:36" ht="14.25" hidden="1">
      <c r="A54" s="66"/>
      <c r="B54" s="81">
        <f t="shared" si="24"/>
        <v>0.802451046500684</v>
      </c>
      <c r="C54" s="82">
        <f t="shared" si="25"/>
        <v>65</v>
      </c>
      <c r="D54" s="82">
        <f t="shared" si="26"/>
        <v>62</v>
      </c>
      <c r="E54" s="79">
        <f t="shared" si="27"/>
        <v>1837.5</v>
      </c>
      <c r="F54" s="79">
        <f t="shared" si="28"/>
        <v>796.25</v>
      </c>
      <c r="G54" s="79">
        <f t="shared" si="29"/>
        <v>0</v>
      </c>
      <c r="H54" s="79">
        <f t="shared" si="30"/>
        <v>0</v>
      </c>
      <c r="I54" s="79">
        <f t="shared" si="31"/>
        <v>0</v>
      </c>
      <c r="J54" s="79">
        <f t="shared" si="32"/>
        <v>0</v>
      </c>
      <c r="K54" s="80">
        <f t="shared" si="23"/>
        <v>31605</v>
      </c>
      <c r="L54" s="28"/>
      <c r="N54" s="33">
        <f t="shared" si="21"/>
        <v>85</v>
      </c>
      <c r="O54" s="83">
        <f t="shared" si="1"/>
        <v>1837.5</v>
      </c>
      <c r="P54" s="83">
        <f t="shared" si="2"/>
        <v>3234</v>
      </c>
      <c r="Q54" s="132">
        <f t="shared" si="3"/>
        <v>2425.5</v>
      </c>
      <c r="R54" s="84">
        <f t="shared" si="15"/>
        <v>1837.5</v>
      </c>
      <c r="S54" s="83">
        <f t="shared" si="4"/>
        <v>0</v>
      </c>
      <c r="T54" s="83">
        <f t="shared" si="16"/>
        <v>0</v>
      </c>
      <c r="U54" s="85">
        <f t="shared" si="22"/>
        <v>82</v>
      </c>
      <c r="V54" s="83">
        <f t="shared" si="6"/>
        <v>600</v>
      </c>
      <c r="W54" s="86">
        <f t="shared" si="17"/>
        <v>796.25</v>
      </c>
      <c r="X54" s="86">
        <f t="shared" si="7"/>
        <v>796.25</v>
      </c>
      <c r="Y54" s="86">
        <f t="shared" si="8"/>
        <v>796.25</v>
      </c>
      <c r="Z54" s="86">
        <f t="shared" si="9"/>
        <v>796.25</v>
      </c>
      <c r="AA54" s="86">
        <f t="shared" si="10"/>
        <v>796.25</v>
      </c>
      <c r="AB54" s="86">
        <f t="shared" si="11"/>
        <v>796.25</v>
      </c>
      <c r="AC54" s="83">
        <f t="shared" si="12"/>
        <v>796.25</v>
      </c>
      <c r="AD54" s="83">
        <f t="shared" si="20"/>
        <v>1837.5</v>
      </c>
      <c r="AE54" s="84">
        <f t="shared" si="18"/>
        <v>1837.5</v>
      </c>
      <c r="AF54">
        <f t="shared" si="14"/>
        <v>0</v>
      </c>
      <c r="AG54" s="4">
        <f t="shared" si="19"/>
        <v>75</v>
      </c>
      <c r="AH54" s="5">
        <v>1.32</v>
      </c>
      <c r="AI54" s="5">
        <v>0.5</v>
      </c>
      <c r="AJ54" s="6">
        <v>1</v>
      </c>
    </row>
    <row r="55" spans="1:36" ht="14.25" hidden="1">
      <c r="A55" s="66"/>
      <c r="B55" s="81">
        <f t="shared" si="24"/>
        <v>0.7678957382781666</v>
      </c>
      <c r="C55" s="82">
        <f t="shared" si="25"/>
        <v>66</v>
      </c>
      <c r="D55" s="82">
        <f t="shared" si="26"/>
        <v>63</v>
      </c>
      <c r="E55" s="79">
        <f t="shared" si="27"/>
        <v>1837.5</v>
      </c>
      <c r="F55" s="79">
        <f t="shared" si="28"/>
        <v>796.25</v>
      </c>
      <c r="G55" s="79">
        <f t="shared" si="29"/>
        <v>0</v>
      </c>
      <c r="H55" s="79">
        <f t="shared" si="30"/>
        <v>0</v>
      </c>
      <c r="I55" s="79">
        <f t="shared" si="31"/>
        <v>0</v>
      </c>
      <c r="J55" s="79">
        <f t="shared" si="32"/>
        <v>0</v>
      </c>
      <c r="K55" s="80">
        <f t="shared" si="23"/>
        <v>31605</v>
      </c>
      <c r="L55" s="28"/>
      <c r="N55" s="33">
        <f t="shared" si="21"/>
        <v>86</v>
      </c>
      <c r="O55" s="83">
        <f t="shared" si="1"/>
        <v>1837.5</v>
      </c>
      <c r="P55" s="83">
        <f t="shared" si="2"/>
        <v>3234</v>
      </c>
      <c r="Q55" s="132">
        <f t="shared" si="3"/>
        <v>2425.5</v>
      </c>
      <c r="R55" s="84">
        <f t="shared" si="15"/>
        <v>1837.5</v>
      </c>
      <c r="S55" s="83">
        <f t="shared" si="4"/>
        <v>0</v>
      </c>
      <c r="T55" s="83">
        <f t="shared" si="16"/>
        <v>0</v>
      </c>
      <c r="U55" s="85">
        <f t="shared" si="22"/>
        <v>83</v>
      </c>
      <c r="V55" s="83">
        <f t="shared" si="6"/>
        <v>600</v>
      </c>
      <c r="W55" s="86">
        <f t="shared" si="17"/>
        <v>796.25</v>
      </c>
      <c r="X55" s="86">
        <f t="shared" si="7"/>
        <v>796.25</v>
      </c>
      <c r="Y55" s="86">
        <f t="shared" si="8"/>
        <v>796.25</v>
      </c>
      <c r="Z55" s="86">
        <f t="shared" si="9"/>
        <v>796.25</v>
      </c>
      <c r="AA55" s="86">
        <f t="shared" si="10"/>
        <v>796.25</v>
      </c>
      <c r="AB55" s="86">
        <f t="shared" si="11"/>
        <v>796.25</v>
      </c>
      <c r="AC55" s="83">
        <f t="shared" si="12"/>
        <v>796.25</v>
      </c>
      <c r="AD55" s="83">
        <f t="shared" si="20"/>
        <v>1837.5</v>
      </c>
      <c r="AE55" s="84">
        <f t="shared" si="18"/>
        <v>1837.5</v>
      </c>
      <c r="AF55">
        <f t="shared" si="14"/>
        <v>0</v>
      </c>
      <c r="AG55" s="4">
        <f t="shared" si="19"/>
        <v>76</v>
      </c>
      <c r="AH55" s="5">
        <v>1.32</v>
      </c>
      <c r="AI55" s="5">
        <v>0.5</v>
      </c>
      <c r="AJ55" s="6">
        <v>1</v>
      </c>
    </row>
    <row r="56" spans="1:36" ht="14.25" hidden="1">
      <c r="A56" s="66"/>
      <c r="B56" s="81">
        <f t="shared" si="24"/>
        <v>0.7348284576824561</v>
      </c>
      <c r="C56" s="82">
        <f t="shared" si="25"/>
        <v>67</v>
      </c>
      <c r="D56" s="82">
        <f t="shared" si="26"/>
        <v>64</v>
      </c>
      <c r="E56" s="79">
        <f t="shared" si="27"/>
        <v>1837.5</v>
      </c>
      <c r="F56" s="79">
        <f t="shared" si="28"/>
        <v>796.25</v>
      </c>
      <c r="G56" s="79">
        <f t="shared" si="29"/>
        <v>0</v>
      </c>
      <c r="H56" s="79">
        <f t="shared" si="30"/>
        <v>0</v>
      </c>
      <c r="I56" s="79">
        <f t="shared" si="31"/>
        <v>0</v>
      </c>
      <c r="J56" s="79">
        <f t="shared" si="32"/>
        <v>0</v>
      </c>
      <c r="K56" s="80">
        <f t="shared" si="23"/>
        <v>31605</v>
      </c>
      <c r="L56" s="28"/>
      <c r="N56" s="33">
        <f t="shared" si="21"/>
        <v>87</v>
      </c>
      <c r="O56" s="83">
        <f t="shared" si="1"/>
        <v>1837.5</v>
      </c>
      <c r="P56" s="83">
        <f t="shared" si="2"/>
        <v>3234</v>
      </c>
      <c r="Q56" s="132">
        <f t="shared" si="3"/>
        <v>2425.5</v>
      </c>
      <c r="R56" s="84">
        <f t="shared" si="15"/>
        <v>1837.5</v>
      </c>
      <c r="S56" s="83">
        <f t="shared" si="4"/>
        <v>0</v>
      </c>
      <c r="T56" s="83">
        <f t="shared" si="16"/>
        <v>0</v>
      </c>
      <c r="U56" s="85">
        <f t="shared" si="22"/>
        <v>84</v>
      </c>
      <c r="V56" s="83">
        <f t="shared" si="6"/>
        <v>600</v>
      </c>
      <c r="W56" s="86">
        <f t="shared" si="17"/>
        <v>796.25</v>
      </c>
      <c r="X56" s="86">
        <f t="shared" si="7"/>
        <v>796.25</v>
      </c>
      <c r="Y56" s="86">
        <f t="shared" si="8"/>
        <v>796.25</v>
      </c>
      <c r="Z56" s="86">
        <f t="shared" si="9"/>
        <v>796.25</v>
      </c>
      <c r="AA56" s="86">
        <f t="shared" si="10"/>
        <v>796.25</v>
      </c>
      <c r="AB56" s="86">
        <f t="shared" si="11"/>
        <v>796.25</v>
      </c>
      <c r="AC56" s="83">
        <f t="shared" si="12"/>
        <v>796.25</v>
      </c>
      <c r="AD56" s="83">
        <f t="shared" si="20"/>
        <v>1837.5</v>
      </c>
      <c r="AE56" s="84">
        <f t="shared" si="18"/>
        <v>1837.5</v>
      </c>
      <c r="AF56">
        <f t="shared" si="14"/>
        <v>0</v>
      </c>
      <c r="AG56" s="4">
        <f t="shared" si="19"/>
        <v>77</v>
      </c>
      <c r="AH56" s="5">
        <v>1.32</v>
      </c>
      <c r="AI56" s="5">
        <v>0.5</v>
      </c>
      <c r="AJ56" s="6">
        <v>1</v>
      </c>
    </row>
    <row r="57" spans="1:36" ht="14.25" hidden="1">
      <c r="A57" s="66"/>
      <c r="B57" s="81">
        <f t="shared" si="24"/>
        <v>0.7031851269688575</v>
      </c>
      <c r="C57" s="82">
        <f t="shared" si="25"/>
        <v>68</v>
      </c>
      <c r="D57" s="82">
        <f t="shared" si="26"/>
        <v>65</v>
      </c>
      <c r="E57" s="79">
        <f t="shared" si="27"/>
        <v>1837.5</v>
      </c>
      <c r="F57" s="79">
        <f t="shared" si="28"/>
        <v>796.25</v>
      </c>
      <c r="G57" s="79">
        <f t="shared" si="29"/>
        <v>0</v>
      </c>
      <c r="H57" s="79">
        <f t="shared" si="30"/>
        <v>0</v>
      </c>
      <c r="I57" s="79">
        <f t="shared" si="31"/>
        <v>0</v>
      </c>
      <c r="J57" s="79">
        <f t="shared" si="32"/>
        <v>0</v>
      </c>
      <c r="K57" s="80">
        <f t="shared" si="23"/>
        <v>31605</v>
      </c>
      <c r="L57" s="28"/>
      <c r="N57" s="33">
        <f t="shared" si="21"/>
        <v>88</v>
      </c>
      <c r="O57" s="83">
        <f t="shared" si="1"/>
        <v>1837.5</v>
      </c>
      <c r="P57" s="83">
        <f t="shared" si="2"/>
        <v>3234</v>
      </c>
      <c r="Q57" s="132">
        <f t="shared" si="3"/>
        <v>2425.5</v>
      </c>
      <c r="R57" s="84">
        <f t="shared" si="15"/>
        <v>1837.5</v>
      </c>
      <c r="S57" s="83">
        <f t="shared" si="4"/>
        <v>0</v>
      </c>
      <c r="T57" s="83">
        <f t="shared" si="16"/>
        <v>0</v>
      </c>
      <c r="U57" s="85">
        <f t="shared" si="22"/>
        <v>85</v>
      </c>
      <c r="V57" s="83">
        <f t="shared" si="6"/>
        <v>600</v>
      </c>
      <c r="W57" s="86">
        <f t="shared" si="17"/>
        <v>796.25</v>
      </c>
      <c r="X57" s="86">
        <f t="shared" si="7"/>
        <v>796.25</v>
      </c>
      <c r="Y57" s="86">
        <f t="shared" si="8"/>
        <v>796.25</v>
      </c>
      <c r="Z57" s="86">
        <f t="shared" si="9"/>
        <v>796.25</v>
      </c>
      <c r="AA57" s="86">
        <f t="shared" si="10"/>
        <v>796.25</v>
      </c>
      <c r="AB57" s="86">
        <f t="shared" si="11"/>
        <v>796.25</v>
      </c>
      <c r="AC57" s="83">
        <f t="shared" si="12"/>
        <v>796.25</v>
      </c>
      <c r="AD57" s="83">
        <f t="shared" si="20"/>
        <v>1837.5</v>
      </c>
      <c r="AE57" s="84">
        <f t="shared" si="18"/>
        <v>1837.5</v>
      </c>
      <c r="AF57">
        <f t="shared" si="14"/>
        <v>0</v>
      </c>
      <c r="AG57" s="4">
        <f t="shared" si="19"/>
        <v>78</v>
      </c>
      <c r="AH57" s="5">
        <v>1.32</v>
      </c>
      <c r="AI57" s="5">
        <v>0.5</v>
      </c>
      <c r="AJ57" s="6">
        <v>1</v>
      </c>
    </row>
    <row r="58" spans="1:36" ht="14.25" hidden="1">
      <c r="A58" s="66"/>
      <c r="B58" s="81">
        <f t="shared" si="24"/>
        <v>0.6729044277213948</v>
      </c>
      <c r="C58" s="82">
        <f t="shared" si="25"/>
        <v>69</v>
      </c>
      <c r="D58" s="82">
        <f t="shared" si="26"/>
        <v>66</v>
      </c>
      <c r="E58" s="79">
        <f t="shared" si="27"/>
        <v>1837.5</v>
      </c>
      <c r="F58" s="79">
        <f t="shared" si="28"/>
        <v>796.25</v>
      </c>
      <c r="G58" s="79">
        <f t="shared" si="29"/>
        <v>0</v>
      </c>
      <c r="H58" s="79">
        <f t="shared" si="30"/>
        <v>0</v>
      </c>
      <c r="I58" s="79">
        <f t="shared" si="31"/>
        <v>0</v>
      </c>
      <c r="J58" s="79">
        <f t="shared" si="32"/>
        <v>0</v>
      </c>
      <c r="K58" s="80">
        <f t="shared" si="23"/>
        <v>31605</v>
      </c>
      <c r="L58" s="28"/>
      <c r="N58" s="33">
        <f t="shared" si="21"/>
        <v>89</v>
      </c>
      <c r="O58" s="83">
        <f t="shared" si="1"/>
        <v>1837.5</v>
      </c>
      <c r="P58" s="83">
        <f t="shared" si="2"/>
        <v>3234</v>
      </c>
      <c r="Q58" s="132">
        <f t="shared" si="3"/>
        <v>2425.5</v>
      </c>
      <c r="R58" s="84">
        <f t="shared" si="15"/>
        <v>1837.5</v>
      </c>
      <c r="S58" s="83">
        <f t="shared" si="4"/>
        <v>0</v>
      </c>
      <c r="T58" s="83">
        <f t="shared" si="16"/>
        <v>0</v>
      </c>
      <c r="U58" s="85">
        <f t="shared" si="22"/>
        <v>86</v>
      </c>
      <c r="V58" s="83">
        <f t="shared" si="6"/>
        <v>600</v>
      </c>
      <c r="W58" s="86">
        <f t="shared" si="17"/>
        <v>796.25</v>
      </c>
      <c r="X58" s="86">
        <f t="shared" si="7"/>
        <v>796.25</v>
      </c>
      <c r="Y58" s="86">
        <f t="shared" si="8"/>
        <v>796.25</v>
      </c>
      <c r="Z58" s="86">
        <f t="shared" si="9"/>
        <v>796.25</v>
      </c>
      <c r="AA58" s="86">
        <f t="shared" si="10"/>
        <v>796.25</v>
      </c>
      <c r="AB58" s="86">
        <f t="shared" si="11"/>
        <v>796.25</v>
      </c>
      <c r="AC58" s="83">
        <f t="shared" si="12"/>
        <v>796.25</v>
      </c>
      <c r="AD58" s="83">
        <f t="shared" si="20"/>
        <v>1837.5</v>
      </c>
      <c r="AE58" s="84">
        <f t="shared" si="18"/>
        <v>1837.5</v>
      </c>
      <c r="AF58">
        <f t="shared" si="14"/>
        <v>0</v>
      </c>
      <c r="AG58" s="4">
        <f t="shared" si="19"/>
        <v>79</v>
      </c>
      <c r="AH58" s="5">
        <v>1.32</v>
      </c>
      <c r="AI58" s="5">
        <v>0.5</v>
      </c>
      <c r="AJ58" s="6">
        <v>1</v>
      </c>
    </row>
    <row r="59" spans="1:36" ht="14.25" hidden="1">
      <c r="A59" s="66"/>
      <c r="B59" s="81">
        <f t="shared" si="24"/>
        <v>0.6439276820300429</v>
      </c>
      <c r="C59" s="82">
        <f t="shared" si="25"/>
        <v>70</v>
      </c>
      <c r="D59" s="82">
        <f t="shared" si="26"/>
        <v>67</v>
      </c>
      <c r="E59" s="79">
        <f t="shared" si="27"/>
        <v>1837.5</v>
      </c>
      <c r="F59" s="79">
        <f t="shared" si="28"/>
        <v>796.25</v>
      </c>
      <c r="G59" s="79">
        <f t="shared" si="29"/>
        <v>0</v>
      </c>
      <c r="H59" s="79">
        <f t="shared" si="30"/>
        <v>0</v>
      </c>
      <c r="I59" s="79">
        <f t="shared" si="31"/>
        <v>0</v>
      </c>
      <c r="J59" s="79">
        <f t="shared" si="32"/>
        <v>0</v>
      </c>
      <c r="K59" s="80">
        <f t="shared" si="23"/>
        <v>31605</v>
      </c>
      <c r="L59" s="28"/>
      <c r="N59" s="33">
        <f t="shared" si="21"/>
        <v>90</v>
      </c>
      <c r="O59" s="83">
        <f t="shared" si="1"/>
        <v>1837.5</v>
      </c>
      <c r="P59" s="83">
        <f t="shared" si="2"/>
        <v>3234</v>
      </c>
      <c r="Q59" s="132">
        <f t="shared" si="3"/>
        <v>2425.5</v>
      </c>
      <c r="R59" s="84">
        <f t="shared" si="15"/>
        <v>1837.5</v>
      </c>
      <c r="S59" s="83">
        <f t="shared" si="4"/>
        <v>0</v>
      </c>
      <c r="T59" s="83">
        <f t="shared" si="16"/>
        <v>0</v>
      </c>
      <c r="U59" s="85">
        <f t="shared" si="22"/>
        <v>87</v>
      </c>
      <c r="V59" s="83">
        <f t="shared" si="6"/>
        <v>600</v>
      </c>
      <c r="W59" s="86">
        <f t="shared" si="17"/>
        <v>796.25</v>
      </c>
      <c r="X59" s="86">
        <f t="shared" si="7"/>
        <v>796.25</v>
      </c>
      <c r="Y59" s="86">
        <f t="shared" si="8"/>
        <v>796.25</v>
      </c>
      <c r="Z59" s="86">
        <f t="shared" si="9"/>
        <v>796.25</v>
      </c>
      <c r="AA59" s="86">
        <f t="shared" si="10"/>
        <v>796.25</v>
      </c>
      <c r="AB59" s="86">
        <f t="shared" si="11"/>
        <v>796.25</v>
      </c>
      <c r="AC59" s="83">
        <f t="shared" si="12"/>
        <v>796.25</v>
      </c>
      <c r="AD59" s="83">
        <f t="shared" si="20"/>
        <v>1837.5</v>
      </c>
      <c r="AE59" s="84">
        <f t="shared" si="18"/>
        <v>1837.5</v>
      </c>
      <c r="AF59">
        <f t="shared" si="14"/>
        <v>0</v>
      </c>
      <c r="AG59" s="4">
        <f t="shared" si="19"/>
        <v>80</v>
      </c>
      <c r="AH59" s="5">
        <v>1.32</v>
      </c>
      <c r="AI59" s="5">
        <v>0.5</v>
      </c>
      <c r="AJ59" s="6">
        <v>1</v>
      </c>
    </row>
    <row r="60" spans="1:36" ht="14.25" hidden="1">
      <c r="A60" s="66"/>
      <c r="B60" s="81">
        <f t="shared" si="24"/>
        <v>0.6161987387847301</v>
      </c>
      <c r="C60" s="82">
        <f t="shared" si="25"/>
        <v>71</v>
      </c>
      <c r="D60" s="82">
        <f t="shared" si="26"/>
        <v>68</v>
      </c>
      <c r="E60" s="79">
        <f t="shared" si="27"/>
        <v>1837.5</v>
      </c>
      <c r="F60" s="79">
        <f t="shared" si="28"/>
        <v>796.25</v>
      </c>
      <c r="G60" s="79">
        <f t="shared" si="29"/>
        <v>0</v>
      </c>
      <c r="H60" s="79">
        <f t="shared" si="30"/>
        <v>0</v>
      </c>
      <c r="I60" s="79">
        <f t="shared" si="31"/>
        <v>0</v>
      </c>
      <c r="J60" s="79">
        <f t="shared" si="32"/>
        <v>0</v>
      </c>
      <c r="K60" s="80">
        <f t="shared" si="23"/>
        <v>31605</v>
      </c>
      <c r="L60" s="28"/>
      <c r="N60" s="33">
        <f t="shared" si="21"/>
        <v>91</v>
      </c>
      <c r="O60" s="83">
        <f t="shared" si="1"/>
        <v>1837.5</v>
      </c>
      <c r="P60" s="83">
        <f t="shared" si="2"/>
        <v>3234</v>
      </c>
      <c r="Q60" s="132">
        <f t="shared" si="3"/>
        <v>2425.5</v>
      </c>
      <c r="R60" s="84">
        <f t="shared" si="15"/>
        <v>1837.5</v>
      </c>
      <c r="S60" s="83">
        <f t="shared" si="4"/>
        <v>0</v>
      </c>
      <c r="T60" s="83">
        <f t="shared" si="16"/>
        <v>0</v>
      </c>
      <c r="U60" s="85">
        <f t="shared" si="22"/>
        <v>88</v>
      </c>
      <c r="V60" s="83">
        <f t="shared" si="6"/>
        <v>600</v>
      </c>
      <c r="W60" s="86">
        <f t="shared" si="17"/>
        <v>796.25</v>
      </c>
      <c r="X60" s="86">
        <f t="shared" si="7"/>
        <v>796.25</v>
      </c>
      <c r="Y60" s="86">
        <f t="shared" si="8"/>
        <v>796.25</v>
      </c>
      <c r="Z60" s="86">
        <f t="shared" si="9"/>
        <v>796.25</v>
      </c>
      <c r="AA60" s="86">
        <f t="shared" si="10"/>
        <v>796.25</v>
      </c>
      <c r="AB60" s="86">
        <f t="shared" si="11"/>
        <v>796.25</v>
      </c>
      <c r="AC60" s="83">
        <f t="shared" si="12"/>
        <v>796.25</v>
      </c>
      <c r="AD60" s="83">
        <f t="shared" si="20"/>
        <v>1837.5</v>
      </c>
      <c r="AE60" s="84">
        <f t="shared" si="18"/>
        <v>1837.5</v>
      </c>
      <c r="AF60">
        <f t="shared" si="14"/>
        <v>0</v>
      </c>
      <c r="AG60" s="4">
        <f t="shared" si="19"/>
        <v>81</v>
      </c>
      <c r="AH60" s="5">
        <v>1.32</v>
      </c>
      <c r="AI60" s="5">
        <v>0.5</v>
      </c>
      <c r="AJ60" s="6">
        <v>1</v>
      </c>
    </row>
    <row r="61" spans="1:36" ht="14.25" hidden="1">
      <c r="A61" s="66"/>
      <c r="B61" s="81">
        <f t="shared" si="24"/>
        <v>0.5896638648657705</v>
      </c>
      <c r="C61" s="82">
        <f t="shared" si="25"/>
        <v>72</v>
      </c>
      <c r="D61" s="82">
        <f t="shared" si="26"/>
        <v>69</v>
      </c>
      <c r="E61" s="79">
        <f t="shared" si="27"/>
        <v>1837.5</v>
      </c>
      <c r="F61" s="79">
        <f t="shared" si="28"/>
        <v>796.25</v>
      </c>
      <c r="G61" s="79">
        <f t="shared" si="29"/>
        <v>0</v>
      </c>
      <c r="H61" s="79">
        <f t="shared" si="30"/>
        <v>0</v>
      </c>
      <c r="I61" s="79">
        <f t="shared" si="31"/>
        <v>0</v>
      </c>
      <c r="J61" s="79">
        <f t="shared" si="32"/>
        <v>0</v>
      </c>
      <c r="K61" s="80">
        <f t="shared" si="23"/>
        <v>31605</v>
      </c>
      <c r="L61" s="28"/>
      <c r="N61" s="33">
        <f aca="true" t="shared" si="33" ref="N61:N80">C81</f>
        <v>92</v>
      </c>
      <c r="O61" s="83">
        <f aca="true" t="shared" si="34" ref="O61:O80">$D$16*IF(C81&lt;$D$14,0,1)*(LOOKUP($D$14,$AG$29:$AH$80))</f>
        <v>1837.5</v>
      </c>
      <c r="P61" s="83">
        <f aca="true" t="shared" si="35" ref="P61:P80">$D$16*IF(C81&lt;66,0,1.32)*IF($C$49=67,1.24/1.32,1)*IF($C$49=68,1.16/1.32,1)*IF($C$49=69,1.08/1.32,1)*IF(C81&lt;70,0,1)</f>
        <v>3234</v>
      </c>
      <c r="Q61" s="132">
        <f aca="true" t="shared" si="36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2425.5</v>
      </c>
      <c r="R61" s="84">
        <f t="shared" si="15"/>
        <v>1837.5</v>
      </c>
      <c r="S61" s="83">
        <f aca="true" t="shared" si="37" ref="S61:S80">IF(N61&gt;69,0,R61)*IF(N61&lt;$D$15,0,1)</f>
        <v>0</v>
      </c>
      <c r="T61" s="83">
        <f t="shared" si="16"/>
        <v>0</v>
      </c>
      <c r="U61" s="85">
        <f aca="true" t="shared" si="38" ref="U61:U80">D81</f>
        <v>89</v>
      </c>
      <c r="V61" s="83">
        <f aca="true" t="shared" si="39" ref="V61:V80">$E$16*IF(D81&lt;$E$14,0,1)*(VLOOKUP($E$14,$AG$29:$AI$80,2))</f>
        <v>600</v>
      </c>
      <c r="W61" s="86">
        <f t="shared" si="17"/>
        <v>796.25</v>
      </c>
      <c r="X61" s="86">
        <f aca="true" t="shared" si="40" ref="X61:X80">$D$16*VLOOKUP($E$14,$AG$29:$AI$80,3)*IF(C81&lt;66,0,1)*IF(D81&lt;$E$14,0,1)</f>
        <v>796.25</v>
      </c>
      <c r="Y61" s="86">
        <f aca="true" t="shared" si="41" ref="Y61:Y80">$D$16*VLOOKUP($E$14,$AG$29:$AI$80,3)*IF(C81&lt;$D$14,0,1)*IF(D81&lt;$E$14,0,1)</f>
        <v>796.25</v>
      </c>
      <c r="Z61" s="86">
        <f aca="true" t="shared" si="42" ref="Z61:Z80">IF(V61&gt;W61,V61,W61)</f>
        <v>796.25</v>
      </c>
      <c r="AA61" s="86">
        <f aca="true" t="shared" si="43" ref="AA61:AA80">IF(V61&gt;X61,V61,X61)</f>
        <v>796.25</v>
      </c>
      <c r="AB61" s="86">
        <f aca="true" t="shared" si="44" ref="AB61:AB80">IF(V61&gt;Y61,V61,Y61)</f>
        <v>796.25</v>
      </c>
      <c r="AC61" s="83">
        <f aca="true" t="shared" si="45" ref="AC61:AC80">IF($G$14=1,Z61,IF($G$14=2,AA61,AB61))</f>
        <v>796.25</v>
      </c>
      <c r="AD61" s="83">
        <f aca="true" t="shared" si="46" ref="AD61:AD80">IF(R61&gt;AC61,R61,AC61)*IF(C81&lt;$D$17,0,1)</f>
        <v>1837.5</v>
      </c>
      <c r="AE61" s="84">
        <f t="shared" si="18"/>
        <v>1837.5</v>
      </c>
      <c r="AF61">
        <f aca="true" t="shared" si="47" ref="AF61:AF80">IF(U61&gt;69,0,AE61)*IF(U61&lt;$D$15-$D$13+$E$13,0,1)</f>
        <v>0</v>
      </c>
      <c r="AG61" s="4">
        <f t="shared" si="19"/>
        <v>82</v>
      </c>
      <c r="AH61" s="5">
        <v>1.32</v>
      </c>
      <c r="AI61" s="5">
        <v>0.5</v>
      </c>
      <c r="AJ61" s="6">
        <v>1</v>
      </c>
    </row>
    <row r="62" spans="1:36" ht="14.25" hidden="1">
      <c r="A62" s="66"/>
      <c r="B62" s="81">
        <f t="shared" si="24"/>
        <v>0.5642716410198761</v>
      </c>
      <c r="C62" s="82">
        <f t="shared" si="25"/>
        <v>73</v>
      </c>
      <c r="D62" s="82">
        <f t="shared" si="26"/>
        <v>70</v>
      </c>
      <c r="E62" s="79">
        <f t="shared" si="27"/>
        <v>1837.5</v>
      </c>
      <c r="F62" s="79">
        <f t="shared" si="28"/>
        <v>796.25</v>
      </c>
      <c r="G62" s="79">
        <f t="shared" si="29"/>
        <v>0</v>
      </c>
      <c r="H62" s="79">
        <f t="shared" si="30"/>
        <v>0</v>
      </c>
      <c r="I62" s="79">
        <f t="shared" si="31"/>
        <v>0</v>
      </c>
      <c r="J62" s="79">
        <f t="shared" si="32"/>
        <v>0</v>
      </c>
      <c r="K62" s="80">
        <f t="shared" si="23"/>
        <v>31605</v>
      </c>
      <c r="L62" s="28"/>
      <c r="N62" s="33">
        <f t="shared" si="33"/>
        <v>93</v>
      </c>
      <c r="O62" s="83">
        <f t="shared" si="34"/>
        <v>1837.5</v>
      </c>
      <c r="P62" s="83">
        <f t="shared" si="35"/>
        <v>3234</v>
      </c>
      <c r="Q62" s="132">
        <f t="shared" si="36"/>
        <v>2425.5</v>
      </c>
      <c r="R62" s="84">
        <f t="shared" si="15"/>
        <v>1837.5</v>
      </c>
      <c r="S62" s="83">
        <f t="shared" si="37"/>
        <v>0</v>
      </c>
      <c r="T62" s="83">
        <f t="shared" si="16"/>
        <v>0</v>
      </c>
      <c r="U62" s="85">
        <f t="shared" si="38"/>
        <v>90</v>
      </c>
      <c r="V62" s="83">
        <f t="shared" si="39"/>
        <v>600</v>
      </c>
      <c r="W62" s="86">
        <f aca="true" t="shared" si="48" ref="W62:W80">$D$16*IF(C82&lt;$D$14,0,1)*IF(D82&lt;$E$14,0,1)*VLOOKUP($E$14,$AG$29:$AI$80,3)</f>
        <v>796.25</v>
      </c>
      <c r="X62" s="86">
        <f t="shared" si="40"/>
        <v>796.25</v>
      </c>
      <c r="Y62" s="86">
        <f t="shared" si="41"/>
        <v>796.25</v>
      </c>
      <c r="Z62" s="86">
        <f t="shared" si="42"/>
        <v>796.25</v>
      </c>
      <c r="AA62" s="86">
        <f t="shared" si="43"/>
        <v>796.25</v>
      </c>
      <c r="AB62" s="86">
        <f t="shared" si="44"/>
        <v>796.25</v>
      </c>
      <c r="AC62" s="83">
        <f t="shared" si="45"/>
        <v>796.25</v>
      </c>
      <c r="AD62" s="83">
        <f t="shared" si="46"/>
        <v>1837.5</v>
      </c>
      <c r="AE62" s="84">
        <f t="shared" si="18"/>
        <v>1837.5</v>
      </c>
      <c r="AF62">
        <f t="shared" si="47"/>
        <v>0</v>
      </c>
      <c r="AG62" s="4">
        <f aca="true" t="shared" si="49" ref="AG62:AG80">AG61+1</f>
        <v>83</v>
      </c>
      <c r="AH62" s="5">
        <v>1.32</v>
      </c>
      <c r="AI62" s="5">
        <v>0.5</v>
      </c>
      <c r="AJ62" s="6">
        <v>1</v>
      </c>
    </row>
    <row r="63" spans="1:36" ht="14.25" hidden="1">
      <c r="A63" s="66"/>
      <c r="B63" s="81">
        <f t="shared" si="24"/>
        <v>0.5399728622199772</v>
      </c>
      <c r="C63" s="82">
        <f t="shared" si="25"/>
        <v>74</v>
      </c>
      <c r="D63" s="82">
        <f t="shared" si="26"/>
        <v>71</v>
      </c>
      <c r="E63" s="79">
        <f t="shared" si="27"/>
        <v>1837.5</v>
      </c>
      <c r="F63" s="79">
        <f t="shared" si="28"/>
        <v>796.25</v>
      </c>
      <c r="G63" s="79">
        <f t="shared" si="29"/>
        <v>0</v>
      </c>
      <c r="H63" s="79">
        <f t="shared" si="30"/>
        <v>0</v>
      </c>
      <c r="I63" s="79">
        <f t="shared" si="31"/>
        <v>0</v>
      </c>
      <c r="J63" s="79">
        <f t="shared" si="32"/>
        <v>0</v>
      </c>
      <c r="K63" s="80">
        <f t="shared" si="23"/>
        <v>31605</v>
      </c>
      <c r="L63" s="28"/>
      <c r="N63" s="33">
        <f t="shared" si="33"/>
        <v>94</v>
      </c>
      <c r="O63" s="83">
        <f t="shared" si="34"/>
        <v>1837.5</v>
      </c>
      <c r="P63" s="83">
        <f t="shared" si="35"/>
        <v>3234</v>
      </c>
      <c r="Q63" s="132">
        <f t="shared" si="36"/>
        <v>2425.5</v>
      </c>
      <c r="R63" s="84">
        <f t="shared" si="15"/>
        <v>1837.5</v>
      </c>
      <c r="S63" s="83">
        <f t="shared" si="37"/>
        <v>0</v>
      </c>
      <c r="T63" s="83">
        <f t="shared" si="16"/>
        <v>0</v>
      </c>
      <c r="U63" s="85">
        <f t="shared" si="38"/>
        <v>91</v>
      </c>
      <c r="V63" s="83">
        <f t="shared" si="39"/>
        <v>600</v>
      </c>
      <c r="W63" s="86">
        <f t="shared" si="48"/>
        <v>796.25</v>
      </c>
      <c r="X63" s="86">
        <f t="shared" si="40"/>
        <v>796.25</v>
      </c>
      <c r="Y63" s="86">
        <f t="shared" si="41"/>
        <v>796.25</v>
      </c>
      <c r="Z63" s="86">
        <f t="shared" si="42"/>
        <v>796.25</v>
      </c>
      <c r="AA63" s="86">
        <f t="shared" si="43"/>
        <v>796.25</v>
      </c>
      <c r="AB63" s="86">
        <f t="shared" si="44"/>
        <v>796.25</v>
      </c>
      <c r="AC63" s="83">
        <f t="shared" si="45"/>
        <v>796.25</v>
      </c>
      <c r="AD63" s="83">
        <f t="shared" si="46"/>
        <v>1837.5</v>
      </c>
      <c r="AE63" s="84">
        <f t="shared" si="18"/>
        <v>1837.5</v>
      </c>
      <c r="AF63">
        <f t="shared" si="47"/>
        <v>0</v>
      </c>
      <c r="AG63" s="4">
        <f t="shared" si="49"/>
        <v>84</v>
      </c>
      <c r="AH63" s="5">
        <v>1.32</v>
      </c>
      <c r="AI63" s="5">
        <v>0.5</v>
      </c>
      <c r="AJ63" s="6">
        <v>1</v>
      </c>
    </row>
    <row r="64" spans="1:36" ht="14.25" hidden="1">
      <c r="A64" s="66"/>
      <c r="B64" s="81">
        <f t="shared" si="24"/>
        <v>0.5167204423157676</v>
      </c>
      <c r="C64" s="82">
        <f t="shared" si="25"/>
        <v>75</v>
      </c>
      <c r="D64" s="82">
        <f t="shared" si="26"/>
        <v>72</v>
      </c>
      <c r="E64" s="79">
        <f t="shared" si="27"/>
        <v>1837.5</v>
      </c>
      <c r="F64" s="79">
        <f t="shared" si="28"/>
        <v>796.25</v>
      </c>
      <c r="G64" s="79">
        <f t="shared" si="29"/>
        <v>0</v>
      </c>
      <c r="H64" s="79">
        <f t="shared" si="30"/>
        <v>0</v>
      </c>
      <c r="I64" s="79">
        <f t="shared" si="31"/>
        <v>0</v>
      </c>
      <c r="J64" s="79">
        <f t="shared" si="32"/>
        <v>0</v>
      </c>
      <c r="K64" s="80">
        <f t="shared" si="23"/>
        <v>31605</v>
      </c>
      <c r="L64" s="28"/>
      <c r="N64" s="33">
        <f t="shared" si="33"/>
        <v>95</v>
      </c>
      <c r="O64" s="83">
        <f t="shared" si="34"/>
        <v>1837.5</v>
      </c>
      <c r="P64" s="83">
        <f t="shared" si="35"/>
        <v>3234</v>
      </c>
      <c r="Q64" s="132">
        <f t="shared" si="36"/>
        <v>2425.5</v>
      </c>
      <c r="R64" s="84">
        <f t="shared" si="15"/>
        <v>1837.5</v>
      </c>
      <c r="S64" s="83">
        <f t="shared" si="37"/>
        <v>0</v>
      </c>
      <c r="T64" s="83">
        <f t="shared" si="16"/>
        <v>0</v>
      </c>
      <c r="U64" s="85">
        <f t="shared" si="38"/>
        <v>92</v>
      </c>
      <c r="V64" s="83">
        <f t="shared" si="39"/>
        <v>600</v>
      </c>
      <c r="W64" s="86">
        <f t="shared" si="48"/>
        <v>796.25</v>
      </c>
      <c r="X64" s="86">
        <f t="shared" si="40"/>
        <v>796.25</v>
      </c>
      <c r="Y64" s="86">
        <f t="shared" si="41"/>
        <v>796.25</v>
      </c>
      <c r="Z64" s="86">
        <f t="shared" si="42"/>
        <v>796.25</v>
      </c>
      <c r="AA64" s="86">
        <f t="shared" si="43"/>
        <v>796.25</v>
      </c>
      <c r="AB64" s="86">
        <f t="shared" si="44"/>
        <v>796.25</v>
      </c>
      <c r="AC64" s="83">
        <f t="shared" si="45"/>
        <v>796.25</v>
      </c>
      <c r="AD64" s="83">
        <f t="shared" si="46"/>
        <v>1837.5</v>
      </c>
      <c r="AE64" s="84">
        <f t="shared" si="18"/>
        <v>1837.5</v>
      </c>
      <c r="AF64">
        <f t="shared" si="47"/>
        <v>0</v>
      </c>
      <c r="AG64" s="4">
        <f t="shared" si="49"/>
        <v>85</v>
      </c>
      <c r="AH64" s="5">
        <v>1.32</v>
      </c>
      <c r="AI64" s="5">
        <v>0.5</v>
      </c>
      <c r="AJ64" s="6">
        <v>1</v>
      </c>
    </row>
    <row r="65" spans="1:36" ht="14.25" hidden="1">
      <c r="A65" s="66"/>
      <c r="B65" s="81">
        <f t="shared" si="24"/>
        <v>0.4944693227902083</v>
      </c>
      <c r="C65" s="82">
        <f t="shared" si="25"/>
        <v>76</v>
      </c>
      <c r="D65" s="82">
        <f t="shared" si="26"/>
        <v>73</v>
      </c>
      <c r="E65" s="79">
        <f t="shared" si="27"/>
        <v>1837.5</v>
      </c>
      <c r="F65" s="79">
        <f t="shared" si="28"/>
        <v>796.25</v>
      </c>
      <c r="G65" s="79">
        <f t="shared" si="29"/>
        <v>0</v>
      </c>
      <c r="H65" s="79">
        <f t="shared" si="30"/>
        <v>0</v>
      </c>
      <c r="I65" s="79">
        <f t="shared" si="31"/>
        <v>0</v>
      </c>
      <c r="J65" s="79">
        <f t="shared" si="32"/>
        <v>0</v>
      </c>
      <c r="K65" s="80">
        <f t="shared" si="23"/>
        <v>31605</v>
      </c>
      <c r="L65" s="28"/>
      <c r="N65" s="33">
        <f t="shared" si="33"/>
        <v>96</v>
      </c>
      <c r="O65" s="83">
        <f t="shared" si="34"/>
        <v>1837.5</v>
      </c>
      <c r="P65" s="83">
        <f t="shared" si="35"/>
        <v>3234</v>
      </c>
      <c r="Q65" s="132">
        <f t="shared" si="36"/>
        <v>2425.5</v>
      </c>
      <c r="R65" s="84">
        <f t="shared" si="15"/>
        <v>1837.5</v>
      </c>
      <c r="S65" s="83">
        <f t="shared" si="37"/>
        <v>0</v>
      </c>
      <c r="T65" s="83">
        <f t="shared" si="16"/>
        <v>0</v>
      </c>
      <c r="U65" s="85">
        <f t="shared" si="38"/>
        <v>93</v>
      </c>
      <c r="V65" s="83">
        <f t="shared" si="39"/>
        <v>600</v>
      </c>
      <c r="W65" s="86">
        <f t="shared" si="48"/>
        <v>796.25</v>
      </c>
      <c r="X65" s="86">
        <f t="shared" si="40"/>
        <v>796.25</v>
      </c>
      <c r="Y65" s="86">
        <f t="shared" si="41"/>
        <v>796.25</v>
      </c>
      <c r="Z65" s="86">
        <f t="shared" si="42"/>
        <v>796.25</v>
      </c>
      <c r="AA65" s="86">
        <f t="shared" si="43"/>
        <v>796.25</v>
      </c>
      <c r="AB65" s="86">
        <f t="shared" si="44"/>
        <v>796.25</v>
      </c>
      <c r="AC65" s="83">
        <f t="shared" si="45"/>
        <v>796.25</v>
      </c>
      <c r="AD65" s="83">
        <f t="shared" si="46"/>
        <v>1837.5</v>
      </c>
      <c r="AE65" s="84">
        <f t="shared" si="18"/>
        <v>1837.5</v>
      </c>
      <c r="AF65">
        <f t="shared" si="47"/>
        <v>0</v>
      </c>
      <c r="AG65" s="4">
        <f t="shared" si="49"/>
        <v>86</v>
      </c>
      <c r="AH65" s="5">
        <v>1.32</v>
      </c>
      <c r="AI65" s="5">
        <v>0.5</v>
      </c>
      <c r="AJ65" s="6">
        <v>1</v>
      </c>
    </row>
    <row r="66" spans="1:36" ht="14.25" hidden="1">
      <c r="A66" s="66"/>
      <c r="B66" s="81">
        <f t="shared" si="24"/>
        <v>0.47317638544517543</v>
      </c>
      <c r="C66" s="82">
        <f t="shared" si="25"/>
        <v>77</v>
      </c>
      <c r="D66" s="82">
        <f t="shared" si="26"/>
        <v>74</v>
      </c>
      <c r="E66" s="79">
        <f t="shared" si="27"/>
        <v>1837.5</v>
      </c>
      <c r="F66" s="79">
        <f aca="true" t="shared" si="50" ref="F66:F80">AE46*IF(D66&lt;$E$17,1,0)*IF($C$9=1,0,1)</f>
        <v>796.25</v>
      </c>
      <c r="G66" s="79">
        <f t="shared" si="29"/>
        <v>0</v>
      </c>
      <c r="H66" s="79">
        <f t="shared" si="30"/>
        <v>0</v>
      </c>
      <c r="I66" s="79">
        <f t="shared" si="31"/>
        <v>0</v>
      </c>
      <c r="J66" s="79">
        <f t="shared" si="32"/>
        <v>0</v>
      </c>
      <c r="K66" s="80">
        <f t="shared" si="23"/>
        <v>31605</v>
      </c>
      <c r="L66" s="28"/>
      <c r="N66" s="33">
        <f t="shared" si="33"/>
        <v>97</v>
      </c>
      <c r="O66" s="83">
        <f t="shared" si="34"/>
        <v>1837.5</v>
      </c>
      <c r="P66" s="83">
        <f t="shared" si="35"/>
        <v>3234</v>
      </c>
      <c r="Q66" s="132">
        <f t="shared" si="36"/>
        <v>2425.5</v>
      </c>
      <c r="R66" s="84">
        <f t="shared" si="15"/>
        <v>1837.5</v>
      </c>
      <c r="S66" s="83">
        <f t="shared" si="37"/>
        <v>0</v>
      </c>
      <c r="T66" s="83">
        <f t="shared" si="16"/>
        <v>0</v>
      </c>
      <c r="U66" s="85">
        <f t="shared" si="38"/>
        <v>94</v>
      </c>
      <c r="V66" s="83">
        <f t="shared" si="39"/>
        <v>600</v>
      </c>
      <c r="W66" s="86">
        <f t="shared" si="48"/>
        <v>796.25</v>
      </c>
      <c r="X66" s="86">
        <f t="shared" si="40"/>
        <v>796.25</v>
      </c>
      <c r="Y66" s="86">
        <f t="shared" si="41"/>
        <v>796.25</v>
      </c>
      <c r="Z66" s="86">
        <f t="shared" si="42"/>
        <v>796.25</v>
      </c>
      <c r="AA66" s="86">
        <f t="shared" si="43"/>
        <v>796.25</v>
      </c>
      <c r="AB66" s="86">
        <f t="shared" si="44"/>
        <v>796.25</v>
      </c>
      <c r="AC66" s="83">
        <f t="shared" si="45"/>
        <v>796.25</v>
      </c>
      <c r="AD66" s="83">
        <f t="shared" si="46"/>
        <v>1837.5</v>
      </c>
      <c r="AE66" s="84">
        <f t="shared" si="18"/>
        <v>1837.5</v>
      </c>
      <c r="AF66">
        <f t="shared" si="47"/>
        <v>0</v>
      </c>
      <c r="AG66" s="4">
        <f t="shared" si="49"/>
        <v>87</v>
      </c>
      <c r="AH66" s="5">
        <v>1.32</v>
      </c>
      <c r="AI66" s="5">
        <v>0.5</v>
      </c>
      <c r="AJ66" s="6">
        <v>1</v>
      </c>
    </row>
    <row r="67" spans="1:36" ht="14.25" hidden="1">
      <c r="A67" s="66"/>
      <c r="B67" s="81">
        <f t="shared" si="24"/>
        <v>0.4528003688470579</v>
      </c>
      <c r="C67" s="82">
        <f t="shared" si="25"/>
        <v>78</v>
      </c>
      <c r="D67" s="82">
        <f t="shared" si="26"/>
        <v>75</v>
      </c>
      <c r="E67" s="79">
        <f t="shared" si="27"/>
        <v>1837.5</v>
      </c>
      <c r="F67" s="79">
        <f t="shared" si="50"/>
        <v>796.25</v>
      </c>
      <c r="G67" s="79">
        <f t="shared" si="29"/>
        <v>0</v>
      </c>
      <c r="H67" s="79">
        <f t="shared" si="30"/>
        <v>0</v>
      </c>
      <c r="I67" s="79">
        <f t="shared" si="31"/>
        <v>0</v>
      </c>
      <c r="J67" s="79">
        <f t="shared" si="32"/>
        <v>0</v>
      </c>
      <c r="K67" s="80">
        <f t="shared" si="23"/>
        <v>31605</v>
      </c>
      <c r="L67" s="28"/>
      <c r="N67" s="33">
        <f t="shared" si="33"/>
        <v>98</v>
      </c>
      <c r="O67" s="83">
        <f t="shared" si="34"/>
        <v>1837.5</v>
      </c>
      <c r="P67" s="83">
        <f t="shared" si="35"/>
        <v>3234</v>
      </c>
      <c r="Q67" s="132">
        <f t="shared" si="36"/>
        <v>2425.5</v>
      </c>
      <c r="R67" s="84">
        <f t="shared" si="15"/>
        <v>1837.5</v>
      </c>
      <c r="S67" s="83">
        <f t="shared" si="37"/>
        <v>0</v>
      </c>
      <c r="T67" s="83">
        <f t="shared" si="16"/>
        <v>0</v>
      </c>
      <c r="U67" s="85">
        <f t="shared" si="38"/>
        <v>95</v>
      </c>
      <c r="V67" s="83">
        <f t="shared" si="39"/>
        <v>600</v>
      </c>
      <c r="W67" s="86">
        <f t="shared" si="48"/>
        <v>796.25</v>
      </c>
      <c r="X67" s="86">
        <f t="shared" si="40"/>
        <v>796.25</v>
      </c>
      <c r="Y67" s="86">
        <f t="shared" si="41"/>
        <v>796.25</v>
      </c>
      <c r="Z67" s="86">
        <f t="shared" si="42"/>
        <v>796.25</v>
      </c>
      <c r="AA67" s="86">
        <f t="shared" si="43"/>
        <v>796.25</v>
      </c>
      <c r="AB67" s="86">
        <f t="shared" si="44"/>
        <v>796.25</v>
      </c>
      <c r="AC67" s="83">
        <f t="shared" si="45"/>
        <v>796.25</v>
      </c>
      <c r="AD67" s="83">
        <f t="shared" si="46"/>
        <v>1837.5</v>
      </c>
      <c r="AE67" s="84">
        <f t="shared" si="18"/>
        <v>1837.5</v>
      </c>
      <c r="AF67">
        <f t="shared" si="47"/>
        <v>0</v>
      </c>
      <c r="AG67" s="4">
        <f t="shared" si="49"/>
        <v>88</v>
      </c>
      <c r="AH67" s="5">
        <v>1.32</v>
      </c>
      <c r="AI67" s="5">
        <v>0.5</v>
      </c>
      <c r="AJ67" s="6">
        <v>1</v>
      </c>
    </row>
    <row r="68" spans="1:36" ht="14.25" hidden="1">
      <c r="A68" s="66"/>
      <c r="B68" s="81">
        <f t="shared" si="24"/>
        <v>0.43330178837039035</v>
      </c>
      <c r="C68" s="82">
        <f t="shared" si="25"/>
        <v>79</v>
      </c>
      <c r="D68" s="82">
        <f t="shared" si="26"/>
        <v>76</v>
      </c>
      <c r="E68" s="79">
        <f t="shared" si="27"/>
        <v>1837.5</v>
      </c>
      <c r="F68" s="79">
        <f t="shared" si="50"/>
        <v>796.25</v>
      </c>
      <c r="G68" s="79">
        <f t="shared" si="29"/>
        <v>0</v>
      </c>
      <c r="H68" s="79">
        <f t="shared" si="30"/>
        <v>0</v>
      </c>
      <c r="I68" s="79">
        <f t="shared" si="31"/>
        <v>0</v>
      </c>
      <c r="J68" s="79">
        <f t="shared" si="32"/>
        <v>0</v>
      </c>
      <c r="K68" s="80">
        <f t="shared" si="23"/>
        <v>31605</v>
      </c>
      <c r="L68" s="28"/>
      <c r="N68" s="33">
        <f t="shared" si="33"/>
        <v>99</v>
      </c>
      <c r="O68" s="83">
        <f t="shared" si="34"/>
        <v>1837.5</v>
      </c>
      <c r="P68" s="83">
        <f t="shared" si="35"/>
        <v>3234</v>
      </c>
      <c r="Q68" s="132">
        <f t="shared" si="36"/>
        <v>2425.5</v>
      </c>
      <c r="R68" s="84">
        <f t="shared" si="15"/>
        <v>1837.5</v>
      </c>
      <c r="S68" s="83">
        <f t="shared" si="37"/>
        <v>0</v>
      </c>
      <c r="T68" s="83">
        <f t="shared" si="16"/>
        <v>0</v>
      </c>
      <c r="U68" s="85">
        <f t="shared" si="38"/>
        <v>96</v>
      </c>
      <c r="V68" s="83">
        <f t="shared" si="39"/>
        <v>600</v>
      </c>
      <c r="W68" s="86">
        <f t="shared" si="48"/>
        <v>796.25</v>
      </c>
      <c r="X68" s="86">
        <f t="shared" si="40"/>
        <v>796.25</v>
      </c>
      <c r="Y68" s="86">
        <f t="shared" si="41"/>
        <v>796.25</v>
      </c>
      <c r="Z68" s="86">
        <f t="shared" si="42"/>
        <v>796.25</v>
      </c>
      <c r="AA68" s="86">
        <f t="shared" si="43"/>
        <v>796.25</v>
      </c>
      <c r="AB68" s="86">
        <f t="shared" si="44"/>
        <v>796.25</v>
      </c>
      <c r="AC68" s="83">
        <f t="shared" si="45"/>
        <v>796.25</v>
      </c>
      <c r="AD68" s="83">
        <f t="shared" si="46"/>
        <v>1837.5</v>
      </c>
      <c r="AE68" s="84">
        <f t="shared" si="18"/>
        <v>1837.5</v>
      </c>
      <c r="AF68">
        <f t="shared" si="47"/>
        <v>0</v>
      </c>
      <c r="AG68" s="4">
        <f t="shared" si="49"/>
        <v>89</v>
      </c>
      <c r="AH68" s="5">
        <v>1.32</v>
      </c>
      <c r="AI68" s="5">
        <v>0.5</v>
      </c>
      <c r="AJ68" s="6">
        <v>1</v>
      </c>
    </row>
    <row r="69" spans="1:36" ht="14.25" hidden="1">
      <c r="A69" s="66"/>
      <c r="B69" s="81">
        <f t="shared" si="24"/>
        <v>0.4146428596845841</v>
      </c>
      <c r="C69" s="82">
        <f t="shared" si="25"/>
        <v>80</v>
      </c>
      <c r="D69" s="82">
        <f t="shared" si="26"/>
        <v>77</v>
      </c>
      <c r="E69" s="79">
        <f t="shared" si="27"/>
        <v>0</v>
      </c>
      <c r="F69" s="79">
        <f t="shared" si="50"/>
        <v>1837.5</v>
      </c>
      <c r="G69" s="79">
        <f t="shared" si="29"/>
        <v>0</v>
      </c>
      <c r="H69" s="79">
        <f t="shared" si="30"/>
        <v>0</v>
      </c>
      <c r="I69" s="79">
        <f t="shared" si="31"/>
        <v>0</v>
      </c>
      <c r="J69" s="79">
        <f t="shared" si="32"/>
        <v>0</v>
      </c>
      <c r="K69" s="80">
        <f t="shared" si="23"/>
        <v>22050</v>
      </c>
      <c r="L69" s="28"/>
      <c r="N69" s="33">
        <f t="shared" si="33"/>
        <v>100</v>
      </c>
      <c r="O69" s="83">
        <f t="shared" si="34"/>
        <v>1837.5</v>
      </c>
      <c r="P69" s="83">
        <f t="shared" si="35"/>
        <v>3234</v>
      </c>
      <c r="Q69" s="132">
        <f t="shared" si="36"/>
        <v>2425.5</v>
      </c>
      <c r="R69" s="84">
        <f t="shared" si="15"/>
        <v>1837.5</v>
      </c>
      <c r="S69" s="83">
        <f t="shared" si="37"/>
        <v>0</v>
      </c>
      <c r="T69" s="83">
        <f t="shared" si="16"/>
        <v>0</v>
      </c>
      <c r="U69" s="85">
        <f t="shared" si="38"/>
        <v>97</v>
      </c>
      <c r="V69" s="83">
        <f t="shared" si="39"/>
        <v>600</v>
      </c>
      <c r="W69" s="86">
        <f t="shared" si="48"/>
        <v>796.25</v>
      </c>
      <c r="X69" s="86">
        <f t="shared" si="40"/>
        <v>796.25</v>
      </c>
      <c r="Y69" s="86">
        <f t="shared" si="41"/>
        <v>796.25</v>
      </c>
      <c r="Z69" s="86">
        <f t="shared" si="42"/>
        <v>796.25</v>
      </c>
      <c r="AA69" s="86">
        <f t="shared" si="43"/>
        <v>796.25</v>
      </c>
      <c r="AB69" s="86">
        <f t="shared" si="44"/>
        <v>796.25</v>
      </c>
      <c r="AC69" s="83">
        <f t="shared" si="45"/>
        <v>796.25</v>
      </c>
      <c r="AD69" s="83">
        <f t="shared" si="46"/>
        <v>1837.5</v>
      </c>
      <c r="AE69" s="84">
        <f t="shared" si="18"/>
        <v>1837.5</v>
      </c>
      <c r="AF69">
        <f t="shared" si="47"/>
        <v>0</v>
      </c>
      <c r="AG69" s="4">
        <f t="shared" si="49"/>
        <v>90</v>
      </c>
      <c r="AH69" s="5">
        <v>1.32</v>
      </c>
      <c r="AI69" s="5">
        <v>0.5</v>
      </c>
      <c r="AJ69" s="6">
        <v>1</v>
      </c>
    </row>
    <row r="70" spans="1:36" ht="14.25" hidden="1">
      <c r="A70" s="66"/>
      <c r="B70" s="81">
        <f t="shared" si="24"/>
        <v>0.3967874255354872</v>
      </c>
      <c r="C70" s="82">
        <f t="shared" si="25"/>
        <v>81</v>
      </c>
      <c r="D70" s="82">
        <f t="shared" si="26"/>
        <v>78</v>
      </c>
      <c r="E70" s="79">
        <f t="shared" si="27"/>
        <v>0</v>
      </c>
      <c r="F70" s="79">
        <f t="shared" si="50"/>
        <v>1837.5</v>
      </c>
      <c r="G70" s="79">
        <f t="shared" si="29"/>
        <v>0</v>
      </c>
      <c r="H70" s="79">
        <f t="shared" si="30"/>
        <v>0</v>
      </c>
      <c r="I70" s="79">
        <f t="shared" si="31"/>
        <v>0</v>
      </c>
      <c r="J70" s="79">
        <f t="shared" si="32"/>
        <v>0</v>
      </c>
      <c r="K70" s="80">
        <f t="shared" si="23"/>
        <v>22050</v>
      </c>
      <c r="L70" s="28"/>
      <c r="N70" s="33">
        <f t="shared" si="33"/>
        <v>101</v>
      </c>
      <c r="O70" s="83">
        <f t="shared" si="34"/>
        <v>1837.5</v>
      </c>
      <c r="P70" s="83">
        <f t="shared" si="35"/>
        <v>3234</v>
      </c>
      <c r="Q70" s="132">
        <f t="shared" si="36"/>
        <v>2425.5</v>
      </c>
      <c r="R70" s="84">
        <f t="shared" si="15"/>
        <v>1837.5</v>
      </c>
      <c r="S70" s="83">
        <f t="shared" si="37"/>
        <v>0</v>
      </c>
      <c r="T70" s="83">
        <f t="shared" si="16"/>
        <v>0</v>
      </c>
      <c r="U70" s="85">
        <f t="shared" si="38"/>
        <v>98</v>
      </c>
      <c r="V70" s="83">
        <f t="shared" si="39"/>
        <v>600</v>
      </c>
      <c r="W70" s="86">
        <f t="shared" si="48"/>
        <v>796.25</v>
      </c>
      <c r="X70" s="86">
        <f t="shared" si="40"/>
        <v>796.25</v>
      </c>
      <c r="Y70" s="86">
        <f t="shared" si="41"/>
        <v>796.25</v>
      </c>
      <c r="Z70" s="86">
        <f t="shared" si="42"/>
        <v>796.25</v>
      </c>
      <c r="AA70" s="86">
        <f t="shared" si="43"/>
        <v>796.25</v>
      </c>
      <c r="AB70" s="86">
        <f t="shared" si="44"/>
        <v>796.25</v>
      </c>
      <c r="AC70" s="83">
        <f t="shared" si="45"/>
        <v>796.25</v>
      </c>
      <c r="AD70" s="83">
        <f t="shared" si="46"/>
        <v>1837.5</v>
      </c>
      <c r="AE70" s="84">
        <f t="shared" si="18"/>
        <v>1837.5</v>
      </c>
      <c r="AF70">
        <f t="shared" si="47"/>
        <v>0</v>
      </c>
      <c r="AG70" s="4">
        <f t="shared" si="49"/>
        <v>91</v>
      </c>
      <c r="AH70" s="5">
        <v>1.32</v>
      </c>
      <c r="AI70" s="5">
        <v>0.5</v>
      </c>
      <c r="AJ70" s="6">
        <v>1</v>
      </c>
    </row>
    <row r="71" spans="1:36" ht="14.25" hidden="1">
      <c r="A71" s="66"/>
      <c r="B71" s="81">
        <f t="shared" si="24"/>
        <v>0.3797008856798921</v>
      </c>
      <c r="C71" s="82">
        <f t="shared" si="25"/>
        <v>82</v>
      </c>
      <c r="D71" s="82">
        <f t="shared" si="26"/>
        <v>79</v>
      </c>
      <c r="E71" s="79">
        <f t="shared" si="27"/>
        <v>0</v>
      </c>
      <c r="F71" s="79">
        <f t="shared" si="50"/>
        <v>1837.5</v>
      </c>
      <c r="G71" s="79">
        <f t="shared" si="29"/>
        <v>0</v>
      </c>
      <c r="H71" s="79">
        <f t="shared" si="30"/>
        <v>0</v>
      </c>
      <c r="I71" s="79">
        <f t="shared" si="31"/>
        <v>0</v>
      </c>
      <c r="J71" s="79">
        <f t="shared" si="32"/>
        <v>0</v>
      </c>
      <c r="K71" s="80">
        <f t="shared" si="23"/>
        <v>22050</v>
      </c>
      <c r="L71" s="28"/>
      <c r="N71" s="33">
        <f t="shared" si="33"/>
        <v>102</v>
      </c>
      <c r="O71" s="83">
        <f t="shared" si="34"/>
        <v>1837.5</v>
      </c>
      <c r="P71" s="83">
        <f t="shared" si="35"/>
        <v>3234</v>
      </c>
      <c r="Q71" s="132">
        <f t="shared" si="36"/>
        <v>2425.5</v>
      </c>
      <c r="R71" s="84">
        <f t="shared" si="15"/>
        <v>1837.5</v>
      </c>
      <c r="S71" s="83">
        <f t="shared" si="37"/>
        <v>0</v>
      </c>
      <c r="T71" s="83">
        <f t="shared" si="16"/>
        <v>0</v>
      </c>
      <c r="U71" s="85">
        <f t="shared" si="38"/>
        <v>99</v>
      </c>
      <c r="V71" s="83">
        <f t="shared" si="39"/>
        <v>600</v>
      </c>
      <c r="W71" s="86">
        <f t="shared" si="48"/>
        <v>796.25</v>
      </c>
      <c r="X71" s="86">
        <f t="shared" si="40"/>
        <v>796.25</v>
      </c>
      <c r="Y71" s="86">
        <f t="shared" si="41"/>
        <v>796.25</v>
      </c>
      <c r="Z71" s="86">
        <f t="shared" si="42"/>
        <v>796.25</v>
      </c>
      <c r="AA71" s="86">
        <f t="shared" si="43"/>
        <v>796.25</v>
      </c>
      <c r="AB71" s="86">
        <f t="shared" si="44"/>
        <v>796.25</v>
      </c>
      <c r="AC71" s="83">
        <f t="shared" si="45"/>
        <v>796.25</v>
      </c>
      <c r="AD71" s="83">
        <f t="shared" si="46"/>
        <v>1837.5</v>
      </c>
      <c r="AE71" s="84">
        <f t="shared" si="18"/>
        <v>1837.5</v>
      </c>
      <c r="AF71">
        <f t="shared" si="47"/>
        <v>0</v>
      </c>
      <c r="AG71" s="4">
        <f t="shared" si="49"/>
        <v>92</v>
      </c>
      <c r="AH71" s="5">
        <v>1.32</v>
      </c>
      <c r="AI71" s="5">
        <v>0.5</v>
      </c>
      <c r="AJ71" s="6">
        <v>1</v>
      </c>
    </row>
    <row r="72" spans="1:36" ht="14.25" hidden="1">
      <c r="A72" s="66"/>
      <c r="B72" s="81">
        <f t="shared" si="24"/>
        <v>0.3633501298372173</v>
      </c>
      <c r="C72" s="82">
        <f t="shared" si="25"/>
        <v>83</v>
      </c>
      <c r="D72" s="82">
        <f t="shared" si="26"/>
        <v>80</v>
      </c>
      <c r="E72" s="79">
        <f t="shared" si="27"/>
        <v>0</v>
      </c>
      <c r="F72" s="79">
        <f t="shared" si="50"/>
        <v>1837.5</v>
      </c>
      <c r="G72" s="79">
        <f t="shared" si="29"/>
        <v>0</v>
      </c>
      <c r="H72" s="79">
        <f t="shared" si="30"/>
        <v>0</v>
      </c>
      <c r="I72" s="79">
        <f t="shared" si="31"/>
        <v>0</v>
      </c>
      <c r="J72" s="79">
        <f t="shared" si="32"/>
        <v>0</v>
      </c>
      <c r="K72" s="80">
        <f t="shared" si="23"/>
        <v>22050</v>
      </c>
      <c r="L72" s="28"/>
      <c r="N72" s="33">
        <f t="shared" si="33"/>
        <v>103</v>
      </c>
      <c r="O72" s="83">
        <f t="shared" si="34"/>
        <v>1837.5</v>
      </c>
      <c r="P72" s="83">
        <f t="shared" si="35"/>
        <v>3234</v>
      </c>
      <c r="Q72" s="132">
        <f t="shared" si="36"/>
        <v>2425.5</v>
      </c>
      <c r="R72" s="84">
        <f t="shared" si="15"/>
        <v>1837.5</v>
      </c>
      <c r="S72" s="83">
        <f t="shared" si="37"/>
        <v>0</v>
      </c>
      <c r="T72" s="83">
        <f t="shared" si="16"/>
        <v>0</v>
      </c>
      <c r="U72" s="85">
        <f t="shared" si="38"/>
        <v>100</v>
      </c>
      <c r="V72" s="83">
        <f t="shared" si="39"/>
        <v>600</v>
      </c>
      <c r="W72" s="86">
        <f t="shared" si="48"/>
        <v>796.25</v>
      </c>
      <c r="X72" s="86">
        <f t="shared" si="40"/>
        <v>796.25</v>
      </c>
      <c r="Y72" s="86">
        <f t="shared" si="41"/>
        <v>796.25</v>
      </c>
      <c r="Z72" s="86">
        <f t="shared" si="42"/>
        <v>796.25</v>
      </c>
      <c r="AA72" s="86">
        <f t="shared" si="43"/>
        <v>796.25</v>
      </c>
      <c r="AB72" s="86">
        <f t="shared" si="44"/>
        <v>796.25</v>
      </c>
      <c r="AC72" s="83">
        <f t="shared" si="45"/>
        <v>796.25</v>
      </c>
      <c r="AD72" s="83">
        <f t="shared" si="46"/>
        <v>1837.5</v>
      </c>
      <c r="AE72" s="84">
        <f t="shared" si="18"/>
        <v>1837.5</v>
      </c>
      <c r="AF72">
        <f t="shared" si="47"/>
        <v>0</v>
      </c>
      <c r="AG72" s="4">
        <f t="shared" si="49"/>
        <v>93</v>
      </c>
      <c r="AH72" s="5">
        <v>1.32</v>
      </c>
      <c r="AI72" s="5">
        <v>0.5</v>
      </c>
      <c r="AJ72" s="6">
        <v>1</v>
      </c>
    </row>
    <row r="73" spans="1:36" ht="14.25" hidden="1">
      <c r="A73" s="66"/>
      <c r="B73" s="81">
        <f t="shared" si="24"/>
        <v>0.34770347352843767</v>
      </c>
      <c r="C73" s="82">
        <f t="shared" si="25"/>
        <v>84</v>
      </c>
      <c r="D73" s="82">
        <f t="shared" si="26"/>
        <v>81</v>
      </c>
      <c r="E73" s="79">
        <f t="shared" si="27"/>
        <v>0</v>
      </c>
      <c r="F73" s="79">
        <f t="shared" si="50"/>
        <v>1837.5</v>
      </c>
      <c r="G73" s="79">
        <f t="shared" si="29"/>
        <v>0</v>
      </c>
      <c r="H73" s="79">
        <f t="shared" si="30"/>
        <v>0</v>
      </c>
      <c r="I73" s="79">
        <f t="shared" si="31"/>
        <v>0</v>
      </c>
      <c r="J73" s="79">
        <f t="shared" si="32"/>
        <v>0</v>
      </c>
      <c r="K73" s="80">
        <f t="shared" si="23"/>
        <v>22050</v>
      </c>
      <c r="L73" s="28"/>
      <c r="N73" s="33">
        <f t="shared" si="33"/>
        <v>104</v>
      </c>
      <c r="O73" s="83">
        <f t="shared" si="34"/>
        <v>1837.5</v>
      </c>
      <c r="P73" s="83">
        <f t="shared" si="35"/>
        <v>3234</v>
      </c>
      <c r="Q73" s="132">
        <f t="shared" si="36"/>
        <v>2425.5</v>
      </c>
      <c r="R73" s="84">
        <f t="shared" si="15"/>
        <v>1837.5</v>
      </c>
      <c r="S73" s="83">
        <f t="shared" si="37"/>
        <v>0</v>
      </c>
      <c r="T73" s="83">
        <f t="shared" si="16"/>
        <v>0</v>
      </c>
      <c r="U73" s="85">
        <f t="shared" si="38"/>
        <v>101</v>
      </c>
      <c r="V73" s="83">
        <f t="shared" si="39"/>
        <v>600</v>
      </c>
      <c r="W73" s="86">
        <f t="shared" si="48"/>
        <v>796.25</v>
      </c>
      <c r="X73" s="86">
        <f t="shared" si="40"/>
        <v>796.25</v>
      </c>
      <c r="Y73" s="86">
        <f t="shared" si="41"/>
        <v>796.25</v>
      </c>
      <c r="Z73" s="86">
        <f t="shared" si="42"/>
        <v>796.25</v>
      </c>
      <c r="AA73" s="86">
        <f t="shared" si="43"/>
        <v>796.25</v>
      </c>
      <c r="AB73" s="86">
        <f t="shared" si="44"/>
        <v>796.25</v>
      </c>
      <c r="AC73" s="83">
        <f t="shared" si="45"/>
        <v>796.25</v>
      </c>
      <c r="AD73" s="83">
        <f t="shared" si="46"/>
        <v>1837.5</v>
      </c>
      <c r="AE73" s="84">
        <f t="shared" si="18"/>
        <v>1837.5</v>
      </c>
      <c r="AF73">
        <f t="shared" si="47"/>
        <v>0</v>
      </c>
      <c r="AG73" s="4">
        <f t="shared" si="49"/>
        <v>94</v>
      </c>
      <c r="AH73" s="5">
        <v>1.32</v>
      </c>
      <c r="AI73" s="5">
        <v>0.5</v>
      </c>
      <c r="AJ73" s="6">
        <v>1</v>
      </c>
    </row>
    <row r="74" spans="1:36" ht="14.25" hidden="1">
      <c r="A74" s="66"/>
      <c r="B74" s="81">
        <f t="shared" si="24"/>
        <v>0.3327305966779308</v>
      </c>
      <c r="C74" s="82">
        <f t="shared" si="25"/>
        <v>85</v>
      </c>
      <c r="D74" s="82">
        <f t="shared" si="26"/>
        <v>82</v>
      </c>
      <c r="E74" s="79">
        <f t="shared" si="27"/>
        <v>0</v>
      </c>
      <c r="F74" s="79">
        <f t="shared" si="50"/>
        <v>1837.5</v>
      </c>
      <c r="G74" s="79">
        <f t="shared" si="29"/>
        <v>0</v>
      </c>
      <c r="H74" s="79">
        <f t="shared" si="30"/>
        <v>0</v>
      </c>
      <c r="I74" s="79">
        <f t="shared" si="31"/>
        <v>0</v>
      </c>
      <c r="J74" s="79">
        <f t="shared" si="32"/>
        <v>0</v>
      </c>
      <c r="K74" s="80">
        <f t="shared" si="23"/>
        <v>22050</v>
      </c>
      <c r="L74" s="28"/>
      <c r="N74" s="33">
        <f t="shared" si="33"/>
        <v>105</v>
      </c>
      <c r="O74" s="83">
        <f t="shared" si="34"/>
        <v>1837.5</v>
      </c>
      <c r="P74" s="83">
        <f t="shared" si="35"/>
        <v>3234</v>
      </c>
      <c r="Q74" s="132">
        <f t="shared" si="36"/>
        <v>2425.5</v>
      </c>
      <c r="R74" s="84">
        <f t="shared" si="15"/>
        <v>1837.5</v>
      </c>
      <c r="S74" s="83">
        <f t="shared" si="37"/>
        <v>0</v>
      </c>
      <c r="T74" s="83">
        <f t="shared" si="16"/>
        <v>0</v>
      </c>
      <c r="U74" s="85">
        <f t="shared" si="38"/>
        <v>102</v>
      </c>
      <c r="V74" s="83">
        <f t="shared" si="39"/>
        <v>600</v>
      </c>
      <c r="W74" s="86">
        <f t="shared" si="48"/>
        <v>796.25</v>
      </c>
      <c r="X74" s="86">
        <f t="shared" si="40"/>
        <v>796.25</v>
      </c>
      <c r="Y74" s="86">
        <f t="shared" si="41"/>
        <v>796.25</v>
      </c>
      <c r="Z74" s="86">
        <f t="shared" si="42"/>
        <v>796.25</v>
      </c>
      <c r="AA74" s="86">
        <f t="shared" si="43"/>
        <v>796.25</v>
      </c>
      <c r="AB74" s="86">
        <f t="shared" si="44"/>
        <v>796.25</v>
      </c>
      <c r="AC74" s="83">
        <f t="shared" si="45"/>
        <v>796.25</v>
      </c>
      <c r="AD74" s="83">
        <f t="shared" si="46"/>
        <v>1837.5</v>
      </c>
      <c r="AE74" s="84">
        <f t="shared" si="18"/>
        <v>1837.5</v>
      </c>
      <c r="AF74">
        <f t="shared" si="47"/>
        <v>0</v>
      </c>
      <c r="AG74" s="4">
        <f t="shared" si="49"/>
        <v>95</v>
      </c>
      <c r="AH74" s="5">
        <v>1.32</v>
      </c>
      <c r="AI74" s="5">
        <v>0.5</v>
      </c>
      <c r="AJ74" s="6">
        <v>1</v>
      </c>
    </row>
    <row r="75" spans="1:36" ht="14.25" hidden="1">
      <c r="A75" s="66"/>
      <c r="B75" s="81">
        <f t="shared" si="24"/>
        <v>0.318402484859264</v>
      </c>
      <c r="C75" s="82">
        <f t="shared" si="25"/>
        <v>86</v>
      </c>
      <c r="D75" s="82">
        <f t="shared" si="26"/>
        <v>83</v>
      </c>
      <c r="E75" s="79">
        <f t="shared" si="27"/>
        <v>0</v>
      </c>
      <c r="F75" s="79">
        <f t="shared" si="50"/>
        <v>1837.5</v>
      </c>
      <c r="G75" s="79">
        <f t="shared" si="29"/>
        <v>0</v>
      </c>
      <c r="H75" s="79">
        <f t="shared" si="30"/>
        <v>0</v>
      </c>
      <c r="I75" s="79">
        <f t="shared" si="31"/>
        <v>0</v>
      </c>
      <c r="J75" s="79">
        <f t="shared" si="32"/>
        <v>0</v>
      </c>
      <c r="K75" s="80">
        <f t="shared" si="23"/>
        <v>22050</v>
      </c>
      <c r="L75" s="28"/>
      <c r="N75" s="33">
        <f t="shared" si="33"/>
        <v>106</v>
      </c>
      <c r="O75" s="83">
        <f t="shared" si="34"/>
        <v>1837.5</v>
      </c>
      <c r="P75" s="83">
        <f t="shared" si="35"/>
        <v>3234</v>
      </c>
      <c r="Q75" s="132">
        <f t="shared" si="36"/>
        <v>2425.5</v>
      </c>
      <c r="R75" s="84">
        <f t="shared" si="15"/>
        <v>1837.5</v>
      </c>
      <c r="S75" s="83">
        <f t="shared" si="37"/>
        <v>0</v>
      </c>
      <c r="T75" s="83">
        <f t="shared" si="16"/>
        <v>0</v>
      </c>
      <c r="U75" s="85">
        <f t="shared" si="38"/>
        <v>103</v>
      </c>
      <c r="V75" s="83">
        <f t="shared" si="39"/>
        <v>600</v>
      </c>
      <c r="W75" s="86">
        <f t="shared" si="48"/>
        <v>796.25</v>
      </c>
      <c r="X75" s="86">
        <f t="shared" si="40"/>
        <v>796.25</v>
      </c>
      <c r="Y75" s="86">
        <f t="shared" si="41"/>
        <v>796.25</v>
      </c>
      <c r="Z75" s="86">
        <f t="shared" si="42"/>
        <v>796.25</v>
      </c>
      <c r="AA75" s="86">
        <f t="shared" si="43"/>
        <v>796.25</v>
      </c>
      <c r="AB75" s="86">
        <f t="shared" si="44"/>
        <v>796.25</v>
      </c>
      <c r="AC75" s="83">
        <f t="shared" si="45"/>
        <v>796.25</v>
      </c>
      <c r="AD75" s="83">
        <f t="shared" si="46"/>
        <v>1837.5</v>
      </c>
      <c r="AE75" s="84">
        <f t="shared" si="18"/>
        <v>1837.5</v>
      </c>
      <c r="AF75">
        <f t="shared" si="47"/>
        <v>0</v>
      </c>
      <c r="AG75" s="4">
        <f t="shared" si="49"/>
        <v>96</v>
      </c>
      <c r="AH75" s="5">
        <v>1.32</v>
      </c>
      <c r="AI75" s="5">
        <v>0.5</v>
      </c>
      <c r="AJ75" s="6">
        <v>1</v>
      </c>
    </row>
    <row r="76" spans="1:36" ht="14.25" hidden="1">
      <c r="A76" s="66"/>
      <c r="B76" s="81">
        <f t="shared" si="24"/>
        <v>0.30469137307106603</v>
      </c>
      <c r="C76" s="82">
        <f t="shared" si="25"/>
        <v>87</v>
      </c>
      <c r="D76" s="82">
        <f t="shared" si="26"/>
        <v>84</v>
      </c>
      <c r="E76" s="79">
        <f t="shared" si="27"/>
        <v>0</v>
      </c>
      <c r="F76" s="79">
        <f t="shared" si="50"/>
        <v>1837.5</v>
      </c>
      <c r="G76" s="79">
        <f t="shared" si="29"/>
        <v>0</v>
      </c>
      <c r="H76" s="79">
        <f t="shared" si="30"/>
        <v>0</v>
      </c>
      <c r="I76" s="79">
        <f t="shared" si="31"/>
        <v>0</v>
      </c>
      <c r="J76" s="79">
        <f t="shared" si="32"/>
        <v>0</v>
      </c>
      <c r="K76" s="80">
        <f t="shared" si="23"/>
        <v>22050</v>
      </c>
      <c r="L76" s="28"/>
      <c r="N76" s="33">
        <f t="shared" si="33"/>
        <v>107</v>
      </c>
      <c r="O76" s="83">
        <f t="shared" si="34"/>
        <v>1837.5</v>
      </c>
      <c r="P76" s="83">
        <f t="shared" si="35"/>
        <v>3234</v>
      </c>
      <c r="Q76" s="132">
        <f t="shared" si="36"/>
        <v>2425.5</v>
      </c>
      <c r="R76" s="84">
        <f t="shared" si="15"/>
        <v>1837.5</v>
      </c>
      <c r="S76" s="83">
        <f t="shared" si="37"/>
        <v>0</v>
      </c>
      <c r="T76" s="83">
        <f t="shared" si="16"/>
        <v>0</v>
      </c>
      <c r="U76" s="85">
        <f t="shared" si="38"/>
        <v>104</v>
      </c>
      <c r="V76" s="83">
        <f t="shared" si="39"/>
        <v>600</v>
      </c>
      <c r="W76" s="86">
        <f t="shared" si="48"/>
        <v>796.25</v>
      </c>
      <c r="X76" s="86">
        <f t="shared" si="40"/>
        <v>796.25</v>
      </c>
      <c r="Y76" s="86">
        <f t="shared" si="41"/>
        <v>796.25</v>
      </c>
      <c r="Z76" s="86">
        <f t="shared" si="42"/>
        <v>796.25</v>
      </c>
      <c r="AA76" s="86">
        <f t="shared" si="43"/>
        <v>796.25</v>
      </c>
      <c r="AB76" s="86">
        <f t="shared" si="44"/>
        <v>796.25</v>
      </c>
      <c r="AC76" s="83">
        <f t="shared" si="45"/>
        <v>796.25</v>
      </c>
      <c r="AD76" s="83">
        <f t="shared" si="46"/>
        <v>1837.5</v>
      </c>
      <c r="AE76" s="84">
        <f t="shared" si="18"/>
        <v>1837.5</v>
      </c>
      <c r="AF76">
        <f t="shared" si="47"/>
        <v>0</v>
      </c>
      <c r="AG76" s="4">
        <f t="shared" si="49"/>
        <v>97</v>
      </c>
      <c r="AH76" s="5">
        <v>1.32</v>
      </c>
      <c r="AI76" s="5">
        <v>0.5</v>
      </c>
      <c r="AJ76" s="6">
        <v>1</v>
      </c>
    </row>
    <row r="77" spans="1:36" ht="14.25" hidden="1">
      <c r="A77" s="66"/>
      <c r="B77" s="81">
        <f t="shared" si="24"/>
        <v>0.2915706919340345</v>
      </c>
      <c r="C77" s="82">
        <f t="shared" si="25"/>
        <v>88</v>
      </c>
      <c r="D77" s="82">
        <f t="shared" si="26"/>
        <v>85</v>
      </c>
      <c r="E77" s="79">
        <f t="shared" si="27"/>
        <v>0</v>
      </c>
      <c r="F77" s="79">
        <f t="shared" si="50"/>
        <v>1837.5</v>
      </c>
      <c r="G77" s="79">
        <f t="shared" si="29"/>
        <v>0</v>
      </c>
      <c r="H77" s="79">
        <f t="shared" si="30"/>
        <v>0</v>
      </c>
      <c r="I77" s="79">
        <f t="shared" si="31"/>
        <v>0</v>
      </c>
      <c r="J77" s="79">
        <f t="shared" si="32"/>
        <v>0</v>
      </c>
      <c r="K77" s="80">
        <f t="shared" si="23"/>
        <v>22050</v>
      </c>
      <c r="L77" s="28"/>
      <c r="N77" s="33">
        <f t="shared" si="33"/>
        <v>108</v>
      </c>
      <c r="O77" s="83">
        <f t="shared" si="34"/>
        <v>1837.5</v>
      </c>
      <c r="P77" s="83">
        <f t="shared" si="35"/>
        <v>3234</v>
      </c>
      <c r="Q77" s="132">
        <f t="shared" si="36"/>
        <v>2425.5</v>
      </c>
      <c r="R77" s="84">
        <f t="shared" si="15"/>
        <v>1837.5</v>
      </c>
      <c r="S77" s="83">
        <f t="shared" si="37"/>
        <v>0</v>
      </c>
      <c r="T77" s="83">
        <f t="shared" si="16"/>
        <v>0</v>
      </c>
      <c r="U77" s="85">
        <f t="shared" si="38"/>
        <v>105</v>
      </c>
      <c r="V77" s="83">
        <f t="shared" si="39"/>
        <v>600</v>
      </c>
      <c r="W77" s="86">
        <f t="shared" si="48"/>
        <v>796.25</v>
      </c>
      <c r="X77" s="86">
        <f t="shared" si="40"/>
        <v>796.25</v>
      </c>
      <c r="Y77" s="86">
        <f t="shared" si="41"/>
        <v>796.25</v>
      </c>
      <c r="Z77" s="86">
        <f t="shared" si="42"/>
        <v>796.25</v>
      </c>
      <c r="AA77" s="86">
        <f t="shared" si="43"/>
        <v>796.25</v>
      </c>
      <c r="AB77" s="86">
        <f t="shared" si="44"/>
        <v>796.25</v>
      </c>
      <c r="AC77" s="83">
        <f t="shared" si="45"/>
        <v>796.25</v>
      </c>
      <c r="AD77" s="83">
        <f t="shared" si="46"/>
        <v>1837.5</v>
      </c>
      <c r="AE77" s="84">
        <f t="shared" si="18"/>
        <v>1837.5</v>
      </c>
      <c r="AF77">
        <f t="shared" si="47"/>
        <v>0</v>
      </c>
      <c r="AG77" s="4">
        <f t="shared" si="49"/>
        <v>98</v>
      </c>
      <c r="AH77" s="5">
        <v>1.32</v>
      </c>
      <c r="AI77" s="5">
        <v>0.5</v>
      </c>
      <c r="AJ77" s="6">
        <v>1</v>
      </c>
    </row>
    <row r="78" spans="1:36" ht="14.25" hidden="1">
      <c r="A78" s="66"/>
      <c r="B78" s="81">
        <f t="shared" si="24"/>
        <v>0.2790150162048177</v>
      </c>
      <c r="C78" s="82">
        <f t="shared" si="25"/>
        <v>89</v>
      </c>
      <c r="D78" s="82">
        <f t="shared" si="26"/>
        <v>86</v>
      </c>
      <c r="E78" s="79">
        <f t="shared" si="27"/>
        <v>0</v>
      </c>
      <c r="F78" s="79">
        <f t="shared" si="50"/>
        <v>1837.5</v>
      </c>
      <c r="G78" s="79">
        <f t="shared" si="29"/>
        <v>0</v>
      </c>
      <c r="H78" s="79">
        <f t="shared" si="30"/>
        <v>0</v>
      </c>
      <c r="I78" s="79">
        <f t="shared" si="31"/>
        <v>0</v>
      </c>
      <c r="J78" s="79">
        <f t="shared" si="32"/>
        <v>0</v>
      </c>
      <c r="K78" s="80">
        <f t="shared" si="23"/>
        <v>22050</v>
      </c>
      <c r="L78" s="28"/>
      <c r="N78" s="33">
        <f t="shared" si="33"/>
        <v>109</v>
      </c>
      <c r="O78" s="83">
        <f t="shared" si="34"/>
        <v>1837.5</v>
      </c>
      <c r="P78" s="83">
        <f t="shared" si="35"/>
        <v>3234</v>
      </c>
      <c r="Q78" s="132">
        <f t="shared" si="36"/>
        <v>2425.5</v>
      </c>
      <c r="R78" s="84">
        <f t="shared" si="15"/>
        <v>1837.5</v>
      </c>
      <c r="S78" s="83">
        <f t="shared" si="37"/>
        <v>0</v>
      </c>
      <c r="T78" s="83">
        <f t="shared" si="16"/>
        <v>0</v>
      </c>
      <c r="U78" s="85">
        <f t="shared" si="38"/>
        <v>106</v>
      </c>
      <c r="V78" s="83">
        <f t="shared" si="39"/>
        <v>600</v>
      </c>
      <c r="W78" s="86">
        <f t="shared" si="48"/>
        <v>796.25</v>
      </c>
      <c r="X78" s="86">
        <f t="shared" si="40"/>
        <v>796.25</v>
      </c>
      <c r="Y78" s="86">
        <f t="shared" si="41"/>
        <v>796.25</v>
      </c>
      <c r="Z78" s="86">
        <f t="shared" si="42"/>
        <v>796.25</v>
      </c>
      <c r="AA78" s="86">
        <f t="shared" si="43"/>
        <v>796.25</v>
      </c>
      <c r="AB78" s="86">
        <f t="shared" si="44"/>
        <v>796.25</v>
      </c>
      <c r="AC78" s="83">
        <f t="shared" si="45"/>
        <v>796.25</v>
      </c>
      <c r="AD78" s="83">
        <f t="shared" si="46"/>
        <v>1837.5</v>
      </c>
      <c r="AE78" s="84">
        <f t="shared" si="18"/>
        <v>1837.5</v>
      </c>
      <c r="AF78">
        <f t="shared" si="47"/>
        <v>0</v>
      </c>
      <c r="AG78" s="4">
        <f t="shared" si="49"/>
        <v>99</v>
      </c>
      <c r="AH78" s="5">
        <v>1.32</v>
      </c>
      <c r="AI78" s="5">
        <v>0.5</v>
      </c>
      <c r="AJ78" s="6">
        <v>1</v>
      </c>
    </row>
    <row r="79" spans="1:36" ht="14.25" hidden="1">
      <c r="A79" s="66"/>
      <c r="B79" s="81">
        <f t="shared" si="24"/>
        <v>0.26700001550700264</v>
      </c>
      <c r="C79" s="82">
        <f t="shared" si="25"/>
        <v>90</v>
      </c>
      <c r="D79" s="82">
        <f t="shared" si="26"/>
        <v>87</v>
      </c>
      <c r="E79" s="79">
        <f t="shared" si="27"/>
        <v>0</v>
      </c>
      <c r="F79" s="79">
        <f t="shared" si="50"/>
        <v>1837.5</v>
      </c>
      <c r="G79" s="79">
        <f t="shared" si="29"/>
        <v>0</v>
      </c>
      <c r="H79" s="79">
        <f t="shared" si="30"/>
        <v>0</v>
      </c>
      <c r="I79" s="79">
        <f t="shared" si="31"/>
        <v>0</v>
      </c>
      <c r="J79" s="79">
        <f t="shared" si="32"/>
        <v>0</v>
      </c>
      <c r="K79" s="80">
        <f t="shared" si="23"/>
        <v>22050</v>
      </c>
      <c r="L79" s="28"/>
      <c r="N79" s="33">
        <f t="shared" si="33"/>
        <v>110</v>
      </c>
      <c r="O79" s="83">
        <f t="shared" si="34"/>
        <v>1837.5</v>
      </c>
      <c r="P79" s="83">
        <f t="shared" si="35"/>
        <v>3234</v>
      </c>
      <c r="Q79" s="132">
        <f t="shared" si="36"/>
        <v>2425.5</v>
      </c>
      <c r="R79" s="84">
        <f t="shared" si="15"/>
        <v>1837.5</v>
      </c>
      <c r="S79" s="83">
        <f t="shared" si="37"/>
        <v>0</v>
      </c>
      <c r="T79" s="83">
        <f t="shared" si="16"/>
        <v>0</v>
      </c>
      <c r="U79" s="85">
        <f t="shared" si="38"/>
        <v>107</v>
      </c>
      <c r="V79" s="83">
        <f t="shared" si="39"/>
        <v>600</v>
      </c>
      <c r="W79" s="86">
        <f t="shared" si="48"/>
        <v>796.25</v>
      </c>
      <c r="X79" s="86">
        <f t="shared" si="40"/>
        <v>796.25</v>
      </c>
      <c r="Y79" s="86">
        <f t="shared" si="41"/>
        <v>796.25</v>
      </c>
      <c r="Z79" s="86">
        <f t="shared" si="42"/>
        <v>796.25</v>
      </c>
      <c r="AA79" s="86">
        <f t="shared" si="43"/>
        <v>796.25</v>
      </c>
      <c r="AB79" s="86">
        <f t="shared" si="44"/>
        <v>796.25</v>
      </c>
      <c r="AC79" s="83">
        <f t="shared" si="45"/>
        <v>796.25</v>
      </c>
      <c r="AD79" s="83">
        <f t="shared" si="46"/>
        <v>1837.5</v>
      </c>
      <c r="AE79" s="84">
        <f t="shared" si="18"/>
        <v>1837.5</v>
      </c>
      <c r="AF79">
        <f t="shared" si="47"/>
        <v>0</v>
      </c>
      <c r="AG79" s="4">
        <f t="shared" si="49"/>
        <v>100</v>
      </c>
      <c r="AH79" s="5">
        <v>1.32</v>
      </c>
      <c r="AI79" s="5">
        <v>0.5</v>
      </c>
      <c r="AJ79" s="6">
        <v>1</v>
      </c>
    </row>
    <row r="80" spans="1:36" ht="14.25" hidden="1">
      <c r="A80" s="66"/>
      <c r="B80" s="81">
        <f t="shared" si="24"/>
        <v>0.2555024071837346</v>
      </c>
      <c r="C80" s="82">
        <f t="shared" si="25"/>
        <v>91</v>
      </c>
      <c r="D80" s="82">
        <f t="shared" si="26"/>
        <v>88</v>
      </c>
      <c r="E80" s="79">
        <f t="shared" si="27"/>
        <v>0</v>
      </c>
      <c r="F80" s="79">
        <f t="shared" si="50"/>
        <v>1837.5</v>
      </c>
      <c r="G80" s="79">
        <f t="shared" si="29"/>
        <v>0</v>
      </c>
      <c r="H80" s="79">
        <f t="shared" si="30"/>
        <v>0</v>
      </c>
      <c r="I80" s="79">
        <f t="shared" si="31"/>
        <v>0</v>
      </c>
      <c r="J80" s="79">
        <f t="shared" si="32"/>
        <v>0</v>
      </c>
      <c r="K80" s="80">
        <f t="shared" si="23"/>
        <v>22050</v>
      </c>
      <c r="L80" s="28"/>
      <c r="N80" s="34">
        <f t="shared" si="33"/>
        <v>111</v>
      </c>
      <c r="O80" s="88">
        <f t="shared" si="34"/>
        <v>1837.5</v>
      </c>
      <c r="P80" s="88">
        <f t="shared" si="35"/>
        <v>3234</v>
      </c>
      <c r="Q80" s="132">
        <f t="shared" si="36"/>
        <v>2425.5</v>
      </c>
      <c r="R80" s="84">
        <f t="shared" si="15"/>
        <v>1837.5</v>
      </c>
      <c r="S80" s="83">
        <f t="shared" si="37"/>
        <v>0</v>
      </c>
      <c r="T80" s="83">
        <f t="shared" si="16"/>
        <v>0</v>
      </c>
      <c r="U80" s="89">
        <f t="shared" si="38"/>
        <v>108</v>
      </c>
      <c r="V80" s="88">
        <f t="shared" si="39"/>
        <v>600</v>
      </c>
      <c r="W80" s="87">
        <f t="shared" si="48"/>
        <v>796.25</v>
      </c>
      <c r="X80" s="87">
        <f t="shared" si="40"/>
        <v>796.25</v>
      </c>
      <c r="Y80" s="87">
        <f t="shared" si="41"/>
        <v>796.25</v>
      </c>
      <c r="Z80" s="87">
        <f t="shared" si="42"/>
        <v>796.25</v>
      </c>
      <c r="AA80" s="87">
        <f t="shared" si="43"/>
        <v>796.25</v>
      </c>
      <c r="AB80" s="87">
        <f t="shared" si="44"/>
        <v>796.25</v>
      </c>
      <c r="AC80" s="88">
        <f t="shared" si="45"/>
        <v>796.25</v>
      </c>
      <c r="AD80" s="88">
        <f t="shared" si="46"/>
        <v>1837.5</v>
      </c>
      <c r="AE80" s="84">
        <f t="shared" si="18"/>
        <v>1837.5</v>
      </c>
      <c r="AF80">
        <f t="shared" si="47"/>
        <v>0</v>
      </c>
      <c r="AG80" s="8">
        <f t="shared" si="49"/>
        <v>101</v>
      </c>
      <c r="AH80" s="13">
        <v>1.32</v>
      </c>
      <c r="AI80" s="13">
        <v>0.5</v>
      </c>
      <c r="AJ80" s="9">
        <v>1</v>
      </c>
    </row>
    <row r="81" spans="1:12" ht="14.25" hidden="1">
      <c r="A81" s="66"/>
      <c r="B81" s="81">
        <f t="shared" si="24"/>
        <v>0.24449991118060732</v>
      </c>
      <c r="C81" s="82">
        <f t="shared" si="25"/>
        <v>92</v>
      </c>
      <c r="D81" s="82">
        <f t="shared" si="26"/>
        <v>89</v>
      </c>
      <c r="E81" s="79">
        <f t="shared" si="27"/>
        <v>0</v>
      </c>
      <c r="F81" s="79">
        <f aca="true" t="shared" si="51" ref="F81:F100">AE61*IF(D81&lt;$E$17,1,0)*IF($C$9=1,0,1)</f>
        <v>1837.5</v>
      </c>
      <c r="G81" s="79">
        <f t="shared" si="29"/>
        <v>0</v>
      </c>
      <c r="H81" s="79">
        <f t="shared" si="30"/>
        <v>0</v>
      </c>
      <c r="I81" s="79">
        <f t="shared" si="31"/>
        <v>0</v>
      </c>
      <c r="J81" s="79">
        <f t="shared" si="32"/>
        <v>0</v>
      </c>
      <c r="K81" s="80">
        <f aca="true" t="shared" si="52" ref="K81:K100">(E81+F81+G81+I81)*12</f>
        <v>22050</v>
      </c>
      <c r="L81" s="28"/>
    </row>
    <row r="82" spans="1:12" ht="14.25" hidden="1">
      <c r="A82" s="66"/>
      <c r="B82" s="81">
        <f aca="true" t="shared" si="53" ref="B82:B100">B81/(1+$B$48)</f>
        <v>0.23397120687139458</v>
      </c>
      <c r="C82" s="82">
        <f aca="true" t="shared" si="54" ref="C82:C100">C81+1</f>
        <v>93</v>
      </c>
      <c r="D82" s="82">
        <f aca="true" t="shared" si="55" ref="D82:D100">D81+1</f>
        <v>90</v>
      </c>
      <c r="E82" s="79">
        <f t="shared" si="27"/>
        <v>0</v>
      </c>
      <c r="F82" s="79">
        <f t="shared" si="51"/>
        <v>0</v>
      </c>
      <c r="G82" s="79">
        <f t="shared" si="29"/>
        <v>0</v>
      </c>
      <c r="H82" s="79">
        <f t="shared" si="30"/>
        <v>0</v>
      </c>
      <c r="I82" s="79">
        <f t="shared" si="31"/>
        <v>0</v>
      </c>
      <c r="J82" s="79">
        <f t="shared" si="32"/>
        <v>0</v>
      </c>
      <c r="K82" s="80">
        <f t="shared" si="52"/>
        <v>0</v>
      </c>
      <c r="L82" s="28"/>
    </row>
    <row r="83" spans="1:12" ht="14.25" hidden="1">
      <c r="A83" s="66"/>
      <c r="B83" s="81">
        <f t="shared" si="53"/>
        <v>0.22389589174296134</v>
      </c>
      <c r="C83" s="82">
        <f t="shared" si="54"/>
        <v>94</v>
      </c>
      <c r="D83" s="82">
        <f t="shared" si="55"/>
        <v>91</v>
      </c>
      <c r="E83" s="79">
        <f t="shared" si="27"/>
        <v>0</v>
      </c>
      <c r="F83" s="79">
        <f t="shared" si="51"/>
        <v>0</v>
      </c>
      <c r="G83" s="79">
        <f t="shared" si="29"/>
        <v>0</v>
      </c>
      <c r="H83" s="79">
        <f t="shared" si="30"/>
        <v>0</v>
      </c>
      <c r="I83" s="79">
        <f t="shared" si="31"/>
        <v>0</v>
      </c>
      <c r="J83" s="79">
        <f t="shared" si="32"/>
        <v>0</v>
      </c>
      <c r="K83" s="80">
        <f t="shared" si="52"/>
        <v>0</v>
      </c>
      <c r="L83" s="28"/>
    </row>
    <row r="84" spans="1:12" ht="14.25" hidden="1">
      <c r="A84" s="66"/>
      <c r="B84" s="81">
        <f t="shared" si="53"/>
        <v>0.21425444185929315</v>
      </c>
      <c r="C84" s="82">
        <f t="shared" si="54"/>
        <v>95</v>
      </c>
      <c r="D84" s="82">
        <f t="shared" si="55"/>
        <v>92</v>
      </c>
      <c r="E84" s="79">
        <f t="shared" si="27"/>
        <v>0</v>
      </c>
      <c r="F84" s="79">
        <f t="shared" si="51"/>
        <v>0</v>
      </c>
      <c r="G84" s="79">
        <f t="shared" si="29"/>
        <v>0</v>
      </c>
      <c r="H84" s="79">
        <f t="shared" si="30"/>
        <v>0</v>
      </c>
      <c r="I84" s="79">
        <f t="shared" si="31"/>
        <v>0</v>
      </c>
      <c r="J84" s="79">
        <f t="shared" si="32"/>
        <v>0</v>
      </c>
      <c r="K84" s="80">
        <f t="shared" si="52"/>
        <v>0</v>
      </c>
      <c r="L84" s="28"/>
    </row>
    <row r="85" spans="1:12" ht="14.25" hidden="1">
      <c r="A85" s="66"/>
      <c r="B85" s="81">
        <f t="shared" si="53"/>
        <v>0.20502817402803175</v>
      </c>
      <c r="C85" s="82">
        <f t="shared" si="54"/>
        <v>96</v>
      </c>
      <c r="D85" s="82">
        <f t="shared" si="55"/>
        <v>93</v>
      </c>
      <c r="E85" s="79">
        <f t="shared" si="27"/>
        <v>0</v>
      </c>
      <c r="F85" s="79">
        <f t="shared" si="51"/>
        <v>0</v>
      </c>
      <c r="G85" s="79">
        <f t="shared" si="29"/>
        <v>0</v>
      </c>
      <c r="H85" s="79">
        <f t="shared" si="30"/>
        <v>0</v>
      </c>
      <c r="I85" s="79">
        <f t="shared" si="31"/>
        <v>0</v>
      </c>
      <c r="J85" s="79">
        <f t="shared" si="32"/>
        <v>0</v>
      </c>
      <c r="K85" s="80">
        <f t="shared" si="52"/>
        <v>0</v>
      </c>
      <c r="L85" s="28"/>
    </row>
    <row r="86" spans="1:12" ht="14.25" hidden="1">
      <c r="A86" s="66"/>
      <c r="B86" s="81">
        <f t="shared" si="53"/>
        <v>0.19619920959620266</v>
      </c>
      <c r="C86" s="82">
        <f t="shared" si="54"/>
        <v>97</v>
      </c>
      <c r="D86" s="82">
        <f t="shared" si="55"/>
        <v>94</v>
      </c>
      <c r="E86" s="79">
        <f t="shared" si="27"/>
        <v>0</v>
      </c>
      <c r="F86" s="79">
        <f t="shared" si="51"/>
        <v>0</v>
      </c>
      <c r="G86" s="79">
        <f t="shared" si="29"/>
        <v>0</v>
      </c>
      <c r="H86" s="79">
        <f t="shared" si="30"/>
        <v>0</v>
      </c>
      <c r="I86" s="79">
        <f t="shared" si="31"/>
        <v>0</v>
      </c>
      <c r="J86" s="79">
        <f t="shared" si="32"/>
        <v>0</v>
      </c>
      <c r="K86" s="80">
        <f t="shared" si="52"/>
        <v>0</v>
      </c>
      <c r="L86" s="28"/>
    </row>
    <row r="87" spans="1:12" ht="14.25" hidden="1">
      <c r="A87" s="66"/>
      <c r="B87" s="81">
        <f t="shared" si="53"/>
        <v>0.18775043980497863</v>
      </c>
      <c r="C87" s="82">
        <f t="shared" si="54"/>
        <v>98</v>
      </c>
      <c r="D87" s="82">
        <f t="shared" si="55"/>
        <v>95</v>
      </c>
      <c r="E87" s="79">
        <f t="shared" si="27"/>
        <v>0</v>
      </c>
      <c r="F87" s="79">
        <f t="shared" si="51"/>
        <v>0</v>
      </c>
      <c r="G87" s="79">
        <f t="shared" si="29"/>
        <v>0</v>
      </c>
      <c r="H87" s="79">
        <f t="shared" si="30"/>
        <v>0</v>
      </c>
      <c r="I87" s="79">
        <f t="shared" si="31"/>
        <v>0</v>
      </c>
      <c r="J87" s="79">
        <f t="shared" si="32"/>
        <v>0</v>
      </c>
      <c r="K87" s="80">
        <f t="shared" si="52"/>
        <v>0</v>
      </c>
      <c r="L87" s="28"/>
    </row>
    <row r="88" spans="1:12" ht="14.25" hidden="1">
      <c r="A88" s="66"/>
      <c r="B88" s="81">
        <f t="shared" si="53"/>
        <v>0.1796654926363432</v>
      </c>
      <c r="C88" s="82">
        <f t="shared" si="54"/>
        <v>99</v>
      </c>
      <c r="D88" s="82">
        <f t="shared" si="55"/>
        <v>96</v>
      </c>
      <c r="E88" s="79">
        <f t="shared" si="27"/>
        <v>0</v>
      </c>
      <c r="F88" s="79">
        <f t="shared" si="51"/>
        <v>0</v>
      </c>
      <c r="G88" s="79">
        <f t="shared" si="29"/>
        <v>0</v>
      </c>
      <c r="H88" s="79">
        <f t="shared" si="30"/>
        <v>0</v>
      </c>
      <c r="I88" s="79">
        <f t="shared" si="31"/>
        <v>0</v>
      </c>
      <c r="J88" s="79">
        <f t="shared" si="32"/>
        <v>0</v>
      </c>
      <c r="K88" s="80">
        <f t="shared" si="52"/>
        <v>0</v>
      </c>
      <c r="L88" s="28"/>
    </row>
    <row r="89" spans="1:12" ht="14.25" hidden="1">
      <c r="A89" s="66"/>
      <c r="B89" s="81">
        <f t="shared" si="53"/>
        <v>0.1719287010874098</v>
      </c>
      <c r="C89" s="82">
        <f t="shared" si="54"/>
        <v>100</v>
      </c>
      <c r="D89" s="82">
        <f t="shared" si="55"/>
        <v>97</v>
      </c>
      <c r="E89" s="79">
        <f t="shared" si="27"/>
        <v>0</v>
      </c>
      <c r="F89" s="79">
        <f t="shared" si="51"/>
        <v>0</v>
      </c>
      <c r="G89" s="79">
        <f t="shared" si="29"/>
        <v>0</v>
      </c>
      <c r="H89" s="79">
        <f t="shared" si="30"/>
        <v>0</v>
      </c>
      <c r="I89" s="79">
        <f t="shared" si="31"/>
        <v>0</v>
      </c>
      <c r="J89" s="79">
        <f t="shared" si="32"/>
        <v>0</v>
      </c>
      <c r="K89" s="80">
        <f t="shared" si="52"/>
        <v>0</v>
      </c>
      <c r="L89" s="28"/>
    </row>
    <row r="90" spans="1:12" ht="14.25" hidden="1">
      <c r="A90" s="66"/>
      <c r="B90" s="81">
        <f t="shared" si="53"/>
        <v>0.16452507281091847</v>
      </c>
      <c r="C90" s="82">
        <f t="shared" si="54"/>
        <v>101</v>
      </c>
      <c r="D90" s="82">
        <f t="shared" si="55"/>
        <v>98</v>
      </c>
      <c r="E90" s="79">
        <f t="shared" si="27"/>
        <v>0</v>
      </c>
      <c r="F90" s="79">
        <f t="shared" si="51"/>
        <v>0</v>
      </c>
      <c r="G90" s="79">
        <f t="shared" si="29"/>
        <v>0</v>
      </c>
      <c r="H90" s="79">
        <f t="shared" si="30"/>
        <v>0</v>
      </c>
      <c r="I90" s="79">
        <f t="shared" si="31"/>
        <v>0</v>
      </c>
      <c r="J90" s="79">
        <f t="shared" si="32"/>
        <v>0</v>
      </c>
      <c r="K90" s="80">
        <f t="shared" si="52"/>
        <v>0</v>
      </c>
      <c r="L90" s="28"/>
    </row>
    <row r="91" spans="1:12" ht="14.25" hidden="1">
      <c r="A91" s="66"/>
      <c r="B91" s="81">
        <f t="shared" si="53"/>
        <v>0.15744026106307987</v>
      </c>
      <c r="C91" s="82">
        <f t="shared" si="54"/>
        <v>102</v>
      </c>
      <c r="D91" s="82">
        <f t="shared" si="55"/>
        <v>99</v>
      </c>
      <c r="E91" s="79">
        <f t="shared" si="27"/>
        <v>0</v>
      </c>
      <c r="F91" s="79">
        <f t="shared" si="51"/>
        <v>0</v>
      </c>
      <c r="G91" s="79">
        <f t="shared" si="29"/>
        <v>0</v>
      </c>
      <c r="H91" s="79">
        <f t="shared" si="30"/>
        <v>0</v>
      </c>
      <c r="I91" s="79">
        <f t="shared" si="31"/>
        <v>0</v>
      </c>
      <c r="J91" s="79">
        <f t="shared" si="32"/>
        <v>0</v>
      </c>
      <c r="K91" s="80">
        <f t="shared" si="52"/>
        <v>0</v>
      </c>
      <c r="L91" s="28"/>
    </row>
    <row r="92" spans="1:12" ht="14.25" hidden="1">
      <c r="A92" s="66"/>
      <c r="B92" s="81">
        <f t="shared" si="53"/>
        <v>0.15066053690246878</v>
      </c>
      <c r="C92" s="82">
        <f t="shared" si="54"/>
        <v>103</v>
      </c>
      <c r="D92" s="82">
        <f t="shared" si="55"/>
        <v>100</v>
      </c>
      <c r="E92" s="79">
        <f t="shared" si="27"/>
        <v>0</v>
      </c>
      <c r="F92" s="79">
        <f t="shared" si="51"/>
        <v>0</v>
      </c>
      <c r="G92" s="79">
        <f t="shared" si="29"/>
        <v>0</v>
      </c>
      <c r="H92" s="79">
        <f t="shared" si="30"/>
        <v>0</v>
      </c>
      <c r="I92" s="79">
        <f t="shared" si="31"/>
        <v>0</v>
      </c>
      <c r="J92" s="79">
        <f t="shared" si="32"/>
        <v>0</v>
      </c>
      <c r="K92" s="80">
        <f t="shared" si="52"/>
        <v>0</v>
      </c>
      <c r="L92" s="28"/>
    </row>
    <row r="93" spans="1:12" ht="14.25" hidden="1">
      <c r="A93" s="66"/>
      <c r="B93" s="81">
        <f t="shared" si="53"/>
        <v>0.14417276258609454</v>
      </c>
      <c r="C93" s="82">
        <f t="shared" si="54"/>
        <v>104</v>
      </c>
      <c r="D93" s="82">
        <f t="shared" si="55"/>
        <v>101</v>
      </c>
      <c r="E93" s="79">
        <f t="shared" si="27"/>
        <v>0</v>
      </c>
      <c r="F93" s="79">
        <f t="shared" si="51"/>
        <v>0</v>
      </c>
      <c r="G93" s="79">
        <f t="shared" si="29"/>
        <v>0</v>
      </c>
      <c r="H93" s="79">
        <f t="shared" si="30"/>
        <v>0</v>
      </c>
      <c r="I93" s="79">
        <f t="shared" si="31"/>
        <v>0</v>
      </c>
      <c r="J93" s="79">
        <f t="shared" si="32"/>
        <v>0</v>
      </c>
      <c r="K93" s="80">
        <f t="shared" si="52"/>
        <v>0</v>
      </c>
      <c r="L93" s="28"/>
    </row>
    <row r="94" spans="1:12" ht="14.25" hidden="1">
      <c r="A94" s="66"/>
      <c r="B94" s="81">
        <f t="shared" si="53"/>
        <v>0.13796436611109528</v>
      </c>
      <c r="C94" s="82">
        <f t="shared" si="54"/>
        <v>105</v>
      </c>
      <c r="D94" s="82">
        <f t="shared" si="55"/>
        <v>102</v>
      </c>
      <c r="E94" s="79">
        <f t="shared" si="27"/>
        <v>0</v>
      </c>
      <c r="F94" s="79">
        <f t="shared" si="51"/>
        <v>0</v>
      </c>
      <c r="G94" s="79">
        <f t="shared" si="29"/>
        <v>0</v>
      </c>
      <c r="H94" s="79">
        <f t="shared" si="30"/>
        <v>0</v>
      </c>
      <c r="I94" s="79">
        <f t="shared" si="31"/>
        <v>0</v>
      </c>
      <c r="J94" s="79">
        <f t="shared" si="32"/>
        <v>0</v>
      </c>
      <c r="K94" s="80">
        <f t="shared" si="52"/>
        <v>0</v>
      </c>
      <c r="L94" s="28"/>
    </row>
    <row r="95" spans="1:12" ht="14.25" hidden="1">
      <c r="A95" s="66"/>
      <c r="B95" s="81">
        <f t="shared" si="53"/>
        <v>0.13202331685272276</v>
      </c>
      <c r="C95" s="82">
        <f t="shared" si="54"/>
        <v>106</v>
      </c>
      <c r="D95" s="82">
        <f t="shared" si="55"/>
        <v>103</v>
      </c>
      <c r="E95" s="79">
        <f t="shared" si="27"/>
        <v>0</v>
      </c>
      <c r="F95" s="79">
        <f t="shared" si="51"/>
        <v>0</v>
      </c>
      <c r="G95" s="79">
        <f t="shared" si="29"/>
        <v>0</v>
      </c>
      <c r="H95" s="79">
        <f t="shared" si="30"/>
        <v>0</v>
      </c>
      <c r="I95" s="79">
        <f t="shared" si="31"/>
        <v>0</v>
      </c>
      <c r="J95" s="79">
        <f t="shared" si="32"/>
        <v>0</v>
      </c>
      <c r="K95" s="80">
        <f t="shared" si="52"/>
        <v>0</v>
      </c>
      <c r="L95" s="28"/>
    </row>
    <row r="96" spans="1:12" ht="14.25" hidden="1">
      <c r="A96" s="66"/>
      <c r="B96" s="81">
        <f t="shared" si="53"/>
        <v>0.12633810225140935</v>
      </c>
      <c r="C96" s="82">
        <f t="shared" si="54"/>
        <v>107</v>
      </c>
      <c r="D96" s="82">
        <f t="shared" si="55"/>
        <v>104</v>
      </c>
      <c r="E96" s="79">
        <f t="shared" si="27"/>
        <v>0</v>
      </c>
      <c r="F96" s="79">
        <f t="shared" si="51"/>
        <v>0</v>
      </c>
      <c r="G96" s="79">
        <f t="shared" si="29"/>
        <v>0</v>
      </c>
      <c r="H96" s="79">
        <f t="shared" si="30"/>
        <v>0</v>
      </c>
      <c r="I96" s="79">
        <f t="shared" si="31"/>
        <v>0</v>
      </c>
      <c r="J96" s="79">
        <f t="shared" si="32"/>
        <v>0</v>
      </c>
      <c r="K96" s="80">
        <f t="shared" si="52"/>
        <v>0</v>
      </c>
      <c r="L96" s="28"/>
    </row>
    <row r="97" spans="1:12" ht="14.25" hidden="1">
      <c r="A97" s="66"/>
      <c r="B97" s="81">
        <f t="shared" si="53"/>
        <v>0.12089770550374102</v>
      </c>
      <c r="C97" s="82">
        <f t="shared" si="54"/>
        <v>108</v>
      </c>
      <c r="D97" s="82">
        <f t="shared" si="55"/>
        <v>105</v>
      </c>
      <c r="E97" s="79">
        <f t="shared" si="27"/>
        <v>0</v>
      </c>
      <c r="F97" s="79">
        <f t="shared" si="51"/>
        <v>0</v>
      </c>
      <c r="G97" s="79">
        <f t="shared" si="29"/>
        <v>0</v>
      </c>
      <c r="H97" s="79">
        <f t="shared" si="30"/>
        <v>0</v>
      </c>
      <c r="I97" s="79">
        <f t="shared" si="31"/>
        <v>0</v>
      </c>
      <c r="J97" s="79">
        <f t="shared" si="32"/>
        <v>0</v>
      </c>
      <c r="K97" s="80">
        <f t="shared" si="52"/>
        <v>0</v>
      </c>
      <c r="L97" s="28"/>
    </row>
    <row r="98" spans="1:12" ht="14.25" hidden="1">
      <c r="A98" s="66"/>
      <c r="B98" s="81">
        <f t="shared" si="53"/>
        <v>0.11569158421410625</v>
      </c>
      <c r="C98" s="82">
        <f t="shared" si="54"/>
        <v>109</v>
      </c>
      <c r="D98" s="82">
        <f t="shared" si="55"/>
        <v>106</v>
      </c>
      <c r="E98" s="79">
        <f t="shared" si="27"/>
        <v>0</v>
      </c>
      <c r="F98" s="79">
        <f t="shared" si="51"/>
        <v>0</v>
      </c>
      <c r="G98" s="79">
        <f t="shared" si="29"/>
        <v>0</v>
      </c>
      <c r="H98" s="79">
        <f t="shared" si="30"/>
        <v>0</v>
      </c>
      <c r="I98" s="79">
        <f t="shared" si="31"/>
        <v>0</v>
      </c>
      <c r="J98" s="79">
        <f t="shared" si="32"/>
        <v>0</v>
      </c>
      <c r="K98" s="80">
        <f t="shared" si="52"/>
        <v>0</v>
      </c>
      <c r="L98" s="28"/>
    </row>
    <row r="99" spans="1:12" ht="14.25" hidden="1">
      <c r="A99" s="66"/>
      <c r="B99" s="81">
        <f t="shared" si="53"/>
        <v>0.11070964996565191</v>
      </c>
      <c r="C99" s="82">
        <f t="shared" si="54"/>
        <v>110</v>
      </c>
      <c r="D99" s="82">
        <f t="shared" si="55"/>
        <v>107</v>
      </c>
      <c r="E99" s="79">
        <f t="shared" si="27"/>
        <v>0</v>
      </c>
      <c r="F99" s="79">
        <f t="shared" si="51"/>
        <v>0</v>
      </c>
      <c r="G99" s="79">
        <f t="shared" si="29"/>
        <v>0</v>
      </c>
      <c r="H99" s="79">
        <f t="shared" si="30"/>
        <v>0</v>
      </c>
      <c r="I99" s="79">
        <f t="shared" si="31"/>
        <v>0</v>
      </c>
      <c r="J99" s="79">
        <f t="shared" si="32"/>
        <v>0</v>
      </c>
      <c r="K99" s="80">
        <f t="shared" si="52"/>
        <v>0</v>
      </c>
      <c r="L99" s="28"/>
    </row>
    <row r="100" spans="1:12" ht="14.25" hidden="1">
      <c r="A100" s="66"/>
      <c r="B100" s="81">
        <f t="shared" si="53"/>
        <v>0.10594224877095877</v>
      </c>
      <c r="C100" s="82">
        <f t="shared" si="54"/>
        <v>111</v>
      </c>
      <c r="D100" s="82">
        <f t="shared" si="55"/>
        <v>108</v>
      </c>
      <c r="E100" s="79">
        <f t="shared" si="27"/>
        <v>0</v>
      </c>
      <c r="F100" s="79">
        <f t="shared" si="51"/>
        <v>0</v>
      </c>
      <c r="G100" s="79">
        <f t="shared" si="29"/>
        <v>0</v>
      </c>
      <c r="H100" s="79">
        <f t="shared" si="30"/>
        <v>0</v>
      </c>
      <c r="I100" s="79">
        <f t="shared" si="31"/>
        <v>0</v>
      </c>
      <c r="J100" s="79">
        <f t="shared" si="32"/>
        <v>0</v>
      </c>
      <c r="K100" s="80">
        <f t="shared" si="52"/>
        <v>0</v>
      </c>
      <c r="L100" s="28"/>
    </row>
    <row r="101" spans="1:12" ht="14.25" hidden="1">
      <c r="A101" s="66"/>
      <c r="B101" s="81"/>
      <c r="C101" s="82"/>
      <c r="D101" s="82"/>
      <c r="E101" s="79"/>
      <c r="F101" s="79"/>
      <c r="G101" s="79"/>
      <c r="H101" s="79"/>
      <c r="I101" s="146" t="s">
        <v>288</v>
      </c>
      <c r="J101" s="146" t="s">
        <v>229</v>
      </c>
      <c r="K101" s="147" t="s">
        <v>230</v>
      </c>
      <c r="L101" s="28"/>
    </row>
    <row r="102" spans="1:17" ht="14.25" hidden="1">
      <c r="A102" s="125"/>
      <c r="B102" s="121"/>
      <c r="C102" s="122"/>
      <c r="D102" s="121"/>
      <c r="E102" s="121"/>
      <c r="F102" s="121" t="s">
        <v>182</v>
      </c>
      <c r="G102" s="121"/>
      <c r="H102" s="143"/>
      <c r="I102" s="134">
        <f>MAX($K$49:$K$100)</f>
        <v>31605</v>
      </c>
      <c r="J102" s="148">
        <f>D18*12</f>
        <v>0</v>
      </c>
      <c r="K102" s="153">
        <f>E18*12</f>
        <v>0</v>
      </c>
      <c r="L102" s="122"/>
      <c r="M102" s="121"/>
      <c r="N102" s="122"/>
      <c r="O102" s="122"/>
      <c r="P102" s="122"/>
      <c r="Q102" s="15"/>
    </row>
    <row r="103" ht="15" thickBot="1"/>
    <row r="104" spans="1:17" ht="14.25">
      <c r="A104" s="28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70"/>
      <c r="L104" s="28"/>
      <c r="M104" s="28"/>
      <c r="N104" s="28"/>
      <c r="O104" s="28"/>
      <c r="P104" s="28"/>
      <c r="Q104" s="28"/>
    </row>
    <row r="105" spans="1:17" ht="15" thickBot="1">
      <c r="A105" s="28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K105" s="170"/>
      <c r="L105" s="28"/>
      <c r="M105" s="28"/>
      <c r="N105" s="28"/>
      <c r="O105" s="28"/>
      <c r="P105" s="28"/>
      <c r="Q105" s="28"/>
    </row>
    <row r="106" spans="1:17" ht="14.25">
      <c r="A106" s="28"/>
      <c r="B106" s="160"/>
      <c r="K106" s="160"/>
      <c r="L106" s="28"/>
      <c r="M106" s="28"/>
      <c r="N106" s="28"/>
      <c r="O106" s="28"/>
      <c r="P106" s="28"/>
      <c r="Q106" s="28"/>
    </row>
    <row r="107" spans="1:17" ht="14.25">
      <c r="A107" s="28"/>
      <c r="B107" s="160"/>
      <c r="C107" s="170" t="str">
        <f>$D$12</f>
        <v>Bill</v>
      </c>
      <c r="D107" s="170" t="s">
        <v>181</v>
      </c>
      <c r="E107" s="170"/>
      <c r="F107" s="170" t="str">
        <f>CONCATENATE($D$12,"'s SS")</f>
        <v>Bill's SS</v>
      </c>
      <c r="G107" s="170" t="str">
        <f>CONCATENATE($F$12,"'s SS")</f>
        <v>Jane's SS</v>
      </c>
      <c r="H107" s="170" t="s">
        <v>48</v>
      </c>
      <c r="I107" s="170" t="s">
        <v>227</v>
      </c>
      <c r="J107" s="170" t="s">
        <v>294</v>
      </c>
      <c r="K107" s="160"/>
      <c r="L107" s="28"/>
      <c r="M107" s="28"/>
      <c r="N107" s="28"/>
      <c r="O107" s="28"/>
      <c r="P107" s="28"/>
      <c r="Q107" s="28"/>
    </row>
    <row r="108" spans="1:17" ht="14.25">
      <c r="A108" s="28"/>
      <c r="B108" s="160"/>
      <c r="C108" s="170">
        <f aca="true" t="shared" si="56" ref="C108:C139">C49</f>
        <v>60</v>
      </c>
      <c r="D108" s="185">
        <f aca="true" t="shared" si="57" ref="D108:D139">K49</f>
        <v>0</v>
      </c>
      <c r="E108" s="185"/>
      <c r="F108" s="185">
        <f aca="true" t="shared" si="58" ref="F108:G127">E49*12</f>
        <v>0</v>
      </c>
      <c r="G108" s="185">
        <f t="shared" si="58"/>
        <v>0</v>
      </c>
      <c r="H108" s="185">
        <f aca="true" t="shared" si="59" ref="H108:H139">(G49+I49)*12</f>
        <v>0</v>
      </c>
      <c r="I108" s="186">
        <f>($I$102-D108)*IF(C108&lt;$L$111,1,0)*IF(C108&lt;$D$15,0,1)</f>
        <v>0</v>
      </c>
      <c r="J108" s="185">
        <f>D108+I108</f>
        <v>0</v>
      </c>
      <c r="K108" s="179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181"/>
      <c r="Q108" s="181"/>
    </row>
    <row r="109" spans="1:17" ht="14.25">
      <c r="A109" s="28"/>
      <c r="B109" s="160"/>
      <c r="C109" s="170">
        <f t="shared" si="56"/>
        <v>61</v>
      </c>
      <c r="D109" s="185">
        <f t="shared" si="57"/>
        <v>0</v>
      </c>
      <c r="E109" s="185"/>
      <c r="F109" s="185">
        <f t="shared" si="58"/>
        <v>0</v>
      </c>
      <c r="G109" s="185">
        <f t="shared" si="58"/>
        <v>0</v>
      </c>
      <c r="H109" s="185">
        <f t="shared" si="59"/>
        <v>0</v>
      </c>
      <c r="I109" s="186">
        <f aca="true" t="shared" si="60" ref="I109:I159">($I$102-D109)*IF(C109&lt;$L$111,1,0)*IF(C109&lt;$D$15,0,1)</f>
        <v>0</v>
      </c>
      <c r="J109" s="185">
        <f aca="true" t="shared" si="61" ref="J109:J159">D109+I109</f>
        <v>0</v>
      </c>
      <c r="K109" s="179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181"/>
      <c r="Q109" s="181"/>
    </row>
    <row r="110" spans="1:17" ht="14.25">
      <c r="A110" s="28"/>
      <c r="B110" s="160"/>
      <c r="C110" s="170">
        <f t="shared" si="56"/>
        <v>62</v>
      </c>
      <c r="D110" s="185">
        <f t="shared" si="57"/>
        <v>22050</v>
      </c>
      <c r="E110" s="185"/>
      <c r="F110" s="185">
        <f t="shared" si="58"/>
        <v>22050</v>
      </c>
      <c r="G110" s="185">
        <f t="shared" si="58"/>
        <v>0</v>
      </c>
      <c r="H110" s="185">
        <f t="shared" si="59"/>
        <v>0</v>
      </c>
      <c r="I110" s="186">
        <f t="shared" si="60"/>
        <v>9555</v>
      </c>
      <c r="J110" s="185">
        <f t="shared" si="61"/>
        <v>31605</v>
      </c>
      <c r="K110" s="179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181"/>
      <c r="Q110" s="181"/>
    </row>
    <row r="111" spans="1:17" ht="14.25">
      <c r="A111" s="28"/>
      <c r="B111" s="160"/>
      <c r="C111" s="170">
        <f t="shared" si="56"/>
        <v>63</v>
      </c>
      <c r="D111" s="185">
        <f t="shared" si="57"/>
        <v>22050</v>
      </c>
      <c r="E111" s="185"/>
      <c r="F111" s="185">
        <f t="shared" si="58"/>
        <v>22050</v>
      </c>
      <c r="G111" s="185">
        <f t="shared" si="58"/>
        <v>0</v>
      </c>
      <c r="H111" s="185">
        <f t="shared" si="59"/>
        <v>0</v>
      </c>
      <c r="I111" s="186">
        <f t="shared" si="60"/>
        <v>9555</v>
      </c>
      <c r="J111" s="185">
        <f t="shared" si="61"/>
        <v>31605</v>
      </c>
      <c r="K111" s="179"/>
      <c r="L111" s="181">
        <f>IF(M108&lt;M110,M108,M110)</f>
        <v>80</v>
      </c>
      <c r="M111" s="181" t="s">
        <v>293</v>
      </c>
      <c r="N111" s="181"/>
      <c r="O111" s="181"/>
      <c r="P111" s="181"/>
      <c r="Q111" s="181"/>
    </row>
    <row r="112" spans="1:17" ht="14.25">
      <c r="A112" s="28"/>
      <c r="B112" s="160"/>
      <c r="C112" s="170">
        <f t="shared" si="56"/>
        <v>64</v>
      </c>
      <c r="D112" s="185">
        <f t="shared" si="57"/>
        <v>22050</v>
      </c>
      <c r="E112" s="185"/>
      <c r="F112" s="185">
        <f t="shared" si="58"/>
        <v>22050</v>
      </c>
      <c r="G112" s="185">
        <f t="shared" si="58"/>
        <v>0</v>
      </c>
      <c r="H112" s="185">
        <f t="shared" si="59"/>
        <v>0</v>
      </c>
      <c r="I112" s="186">
        <f t="shared" si="60"/>
        <v>9555</v>
      </c>
      <c r="J112" s="185">
        <f t="shared" si="61"/>
        <v>31605</v>
      </c>
      <c r="K112" s="179"/>
      <c r="L112" s="181"/>
      <c r="M112" s="181"/>
      <c r="N112" s="181"/>
      <c r="O112" s="181"/>
      <c r="P112" s="181"/>
      <c r="Q112" s="181"/>
    </row>
    <row r="113" spans="1:17" ht="14.25">
      <c r="A113" s="28"/>
      <c r="B113" s="160"/>
      <c r="C113" s="170">
        <f t="shared" si="56"/>
        <v>65</v>
      </c>
      <c r="D113" s="185">
        <f t="shared" si="57"/>
        <v>31605</v>
      </c>
      <c r="E113" s="185"/>
      <c r="F113" s="185">
        <f t="shared" si="58"/>
        <v>22050</v>
      </c>
      <c r="G113" s="185">
        <f t="shared" si="58"/>
        <v>9555</v>
      </c>
      <c r="H113" s="185">
        <f t="shared" si="59"/>
        <v>0</v>
      </c>
      <c r="I113" s="186">
        <f t="shared" si="60"/>
        <v>0</v>
      </c>
      <c r="J113" s="185">
        <f t="shared" si="61"/>
        <v>31605</v>
      </c>
      <c r="K113" s="179"/>
      <c r="L113" s="181"/>
      <c r="M113" s="181"/>
      <c r="N113" s="181"/>
      <c r="O113" s="181"/>
      <c r="P113" s="181"/>
      <c r="Q113" s="181"/>
    </row>
    <row r="114" spans="1:17" ht="14.25">
      <c r="A114" s="28"/>
      <c r="B114" s="160"/>
      <c r="C114" s="170">
        <f t="shared" si="56"/>
        <v>66</v>
      </c>
      <c r="D114" s="185">
        <f t="shared" si="57"/>
        <v>31605</v>
      </c>
      <c r="E114" s="185"/>
      <c r="F114" s="185">
        <f t="shared" si="58"/>
        <v>22050</v>
      </c>
      <c r="G114" s="185">
        <f t="shared" si="58"/>
        <v>9555</v>
      </c>
      <c r="H114" s="185">
        <f t="shared" si="59"/>
        <v>0</v>
      </c>
      <c r="I114" s="186">
        <f t="shared" si="60"/>
        <v>0</v>
      </c>
      <c r="J114" s="185">
        <f t="shared" si="61"/>
        <v>31605</v>
      </c>
      <c r="K114" s="179"/>
      <c r="L114" s="120"/>
      <c r="M114" s="120"/>
      <c r="N114" s="128"/>
      <c r="O114" s="128"/>
      <c r="P114" s="28"/>
      <c r="Q114" s="28"/>
    </row>
    <row r="115" spans="1:17" ht="14.25">
      <c r="A115" s="28"/>
      <c r="B115" s="160"/>
      <c r="C115" s="170">
        <f t="shared" si="56"/>
        <v>67</v>
      </c>
      <c r="D115" s="185">
        <f t="shared" si="57"/>
        <v>31605</v>
      </c>
      <c r="E115" s="185"/>
      <c r="F115" s="185">
        <f t="shared" si="58"/>
        <v>22050</v>
      </c>
      <c r="G115" s="185">
        <f t="shared" si="58"/>
        <v>9555</v>
      </c>
      <c r="H115" s="185">
        <f t="shared" si="59"/>
        <v>0</v>
      </c>
      <c r="I115" s="186">
        <f t="shared" si="60"/>
        <v>0</v>
      </c>
      <c r="J115" s="185">
        <f t="shared" si="61"/>
        <v>31605</v>
      </c>
      <c r="K115" s="179"/>
      <c r="L115" s="120"/>
      <c r="M115" s="120"/>
      <c r="N115" s="128"/>
      <c r="O115" s="128"/>
      <c r="P115" s="28"/>
      <c r="Q115" s="28"/>
    </row>
    <row r="116" spans="1:17" ht="14.25">
      <c r="A116" s="28"/>
      <c r="B116" s="160"/>
      <c r="C116" s="170">
        <f t="shared" si="56"/>
        <v>68</v>
      </c>
      <c r="D116" s="185">
        <f t="shared" si="57"/>
        <v>31605</v>
      </c>
      <c r="E116" s="185"/>
      <c r="F116" s="185">
        <f t="shared" si="58"/>
        <v>22050</v>
      </c>
      <c r="G116" s="185">
        <f t="shared" si="58"/>
        <v>9555</v>
      </c>
      <c r="H116" s="185">
        <f t="shared" si="59"/>
        <v>0</v>
      </c>
      <c r="I116" s="186">
        <f t="shared" si="60"/>
        <v>0</v>
      </c>
      <c r="J116" s="185">
        <f t="shared" si="61"/>
        <v>31605</v>
      </c>
      <c r="K116" s="179"/>
      <c r="L116" s="120"/>
      <c r="M116" s="120"/>
      <c r="N116" s="128"/>
      <c r="O116" s="128"/>
      <c r="P116" s="28"/>
      <c r="Q116" s="28"/>
    </row>
    <row r="117" spans="1:17" ht="14.25">
      <c r="A117" s="28"/>
      <c r="B117" s="160"/>
      <c r="C117" s="170">
        <f t="shared" si="56"/>
        <v>69</v>
      </c>
      <c r="D117" s="185">
        <f t="shared" si="57"/>
        <v>31605</v>
      </c>
      <c r="E117" s="185"/>
      <c r="F117" s="185">
        <f t="shared" si="58"/>
        <v>22050</v>
      </c>
      <c r="G117" s="185">
        <f t="shared" si="58"/>
        <v>9555</v>
      </c>
      <c r="H117" s="185">
        <f t="shared" si="59"/>
        <v>0</v>
      </c>
      <c r="I117" s="186">
        <f t="shared" si="60"/>
        <v>0</v>
      </c>
      <c r="J117" s="185">
        <f t="shared" si="61"/>
        <v>31605</v>
      </c>
      <c r="K117" s="179"/>
      <c r="L117" s="120"/>
      <c r="M117" s="120"/>
      <c r="N117" s="128"/>
      <c r="O117" s="128"/>
      <c r="P117" s="28"/>
      <c r="Q117" s="28"/>
    </row>
    <row r="118" spans="1:17" ht="14.25">
      <c r="A118" s="28"/>
      <c r="B118" s="160"/>
      <c r="C118" s="170">
        <f t="shared" si="56"/>
        <v>70</v>
      </c>
      <c r="D118" s="185">
        <f t="shared" si="57"/>
        <v>31605</v>
      </c>
      <c r="E118" s="185"/>
      <c r="F118" s="185">
        <f t="shared" si="58"/>
        <v>22050</v>
      </c>
      <c r="G118" s="185">
        <f t="shared" si="58"/>
        <v>9555</v>
      </c>
      <c r="H118" s="185">
        <f t="shared" si="59"/>
        <v>0</v>
      </c>
      <c r="I118" s="186">
        <f t="shared" si="60"/>
        <v>0</v>
      </c>
      <c r="J118" s="185">
        <f t="shared" si="61"/>
        <v>31605</v>
      </c>
      <c r="K118" s="179"/>
      <c r="L118" s="120"/>
      <c r="M118" s="120"/>
      <c r="N118" s="128"/>
      <c r="O118" s="128"/>
      <c r="P118" s="28"/>
      <c r="Q118" s="28"/>
    </row>
    <row r="119" spans="1:17" ht="14.25">
      <c r="A119" s="28"/>
      <c r="B119" s="160"/>
      <c r="C119" s="170">
        <f t="shared" si="56"/>
        <v>71</v>
      </c>
      <c r="D119" s="185">
        <f t="shared" si="57"/>
        <v>31605</v>
      </c>
      <c r="E119" s="185"/>
      <c r="F119" s="185">
        <f t="shared" si="58"/>
        <v>22050</v>
      </c>
      <c r="G119" s="185">
        <f t="shared" si="58"/>
        <v>9555</v>
      </c>
      <c r="H119" s="185">
        <f t="shared" si="59"/>
        <v>0</v>
      </c>
      <c r="I119" s="186">
        <f t="shared" si="60"/>
        <v>0</v>
      </c>
      <c r="J119" s="185">
        <f t="shared" si="61"/>
        <v>31605</v>
      </c>
      <c r="K119" s="179"/>
      <c r="L119" s="120"/>
      <c r="M119" s="120"/>
      <c r="N119" s="128"/>
      <c r="O119" s="128"/>
      <c r="P119" s="28"/>
      <c r="Q119" s="28"/>
    </row>
    <row r="120" spans="1:17" ht="14.25">
      <c r="A120" s="28"/>
      <c r="B120" s="160"/>
      <c r="C120" s="170">
        <f t="shared" si="56"/>
        <v>72</v>
      </c>
      <c r="D120" s="185">
        <f t="shared" si="57"/>
        <v>31605</v>
      </c>
      <c r="E120" s="185"/>
      <c r="F120" s="185">
        <f t="shared" si="58"/>
        <v>22050</v>
      </c>
      <c r="G120" s="185">
        <f t="shared" si="58"/>
        <v>9555</v>
      </c>
      <c r="H120" s="185">
        <f t="shared" si="59"/>
        <v>0</v>
      </c>
      <c r="I120" s="186">
        <f t="shared" si="60"/>
        <v>0</v>
      </c>
      <c r="J120" s="185">
        <f t="shared" si="61"/>
        <v>31605</v>
      </c>
      <c r="K120" s="179"/>
      <c r="L120" s="120"/>
      <c r="M120" s="120"/>
      <c r="N120" s="128"/>
      <c r="O120" s="128"/>
      <c r="P120" s="28"/>
      <c r="Q120" s="28"/>
    </row>
    <row r="121" spans="1:17" ht="14.25">
      <c r="A121" s="28"/>
      <c r="B121" s="160"/>
      <c r="C121" s="170">
        <f t="shared" si="56"/>
        <v>73</v>
      </c>
      <c r="D121" s="185">
        <f t="shared" si="57"/>
        <v>31605</v>
      </c>
      <c r="E121" s="185"/>
      <c r="F121" s="185">
        <f t="shared" si="58"/>
        <v>22050</v>
      </c>
      <c r="G121" s="185">
        <f t="shared" si="58"/>
        <v>9555</v>
      </c>
      <c r="H121" s="185">
        <f t="shared" si="59"/>
        <v>0</v>
      </c>
      <c r="I121" s="186">
        <f t="shared" si="60"/>
        <v>0</v>
      </c>
      <c r="J121" s="185">
        <f t="shared" si="61"/>
        <v>31605</v>
      </c>
      <c r="K121" s="179"/>
      <c r="L121" s="120"/>
      <c r="M121" s="120"/>
      <c r="N121" s="128"/>
      <c r="O121" s="128"/>
      <c r="P121" s="28"/>
      <c r="Q121" s="28"/>
    </row>
    <row r="122" spans="1:17" ht="14.25">
      <c r="A122" s="28"/>
      <c r="B122" s="160"/>
      <c r="C122" s="170">
        <f t="shared" si="56"/>
        <v>74</v>
      </c>
      <c r="D122" s="185">
        <f t="shared" si="57"/>
        <v>31605</v>
      </c>
      <c r="E122" s="185"/>
      <c r="F122" s="185">
        <f t="shared" si="58"/>
        <v>22050</v>
      </c>
      <c r="G122" s="185">
        <f t="shared" si="58"/>
        <v>9555</v>
      </c>
      <c r="H122" s="185">
        <f t="shared" si="59"/>
        <v>0</v>
      </c>
      <c r="I122" s="186">
        <f t="shared" si="60"/>
        <v>0</v>
      </c>
      <c r="J122" s="185">
        <f t="shared" si="61"/>
        <v>31605</v>
      </c>
      <c r="K122" s="179"/>
      <c r="L122" s="120"/>
      <c r="M122" s="120"/>
      <c r="N122" s="128"/>
      <c r="O122" s="128"/>
      <c r="P122" s="28"/>
      <c r="Q122" s="28"/>
    </row>
    <row r="123" spans="1:17" ht="14.25">
      <c r="A123" s="28"/>
      <c r="B123" s="160"/>
      <c r="C123" s="170">
        <f t="shared" si="56"/>
        <v>75</v>
      </c>
      <c r="D123" s="185">
        <f t="shared" si="57"/>
        <v>31605</v>
      </c>
      <c r="E123" s="185"/>
      <c r="F123" s="185">
        <f t="shared" si="58"/>
        <v>22050</v>
      </c>
      <c r="G123" s="185">
        <f t="shared" si="58"/>
        <v>9555</v>
      </c>
      <c r="H123" s="185">
        <f t="shared" si="59"/>
        <v>0</v>
      </c>
      <c r="I123" s="186">
        <f t="shared" si="60"/>
        <v>0</v>
      </c>
      <c r="J123" s="185">
        <f t="shared" si="61"/>
        <v>31605</v>
      </c>
      <c r="K123" s="179"/>
      <c r="L123" s="120"/>
      <c r="M123" s="120"/>
      <c r="N123" s="128"/>
      <c r="O123" s="128"/>
      <c r="P123" s="28"/>
      <c r="Q123" s="28"/>
    </row>
    <row r="124" spans="1:17" ht="14.25">
      <c r="A124" s="28"/>
      <c r="B124" s="160"/>
      <c r="C124" s="170">
        <f t="shared" si="56"/>
        <v>76</v>
      </c>
      <c r="D124" s="185">
        <f t="shared" si="57"/>
        <v>31605</v>
      </c>
      <c r="E124" s="185"/>
      <c r="F124" s="185">
        <f t="shared" si="58"/>
        <v>22050</v>
      </c>
      <c r="G124" s="185">
        <f t="shared" si="58"/>
        <v>9555</v>
      </c>
      <c r="H124" s="185">
        <f t="shared" si="59"/>
        <v>0</v>
      </c>
      <c r="I124" s="186">
        <f t="shared" si="60"/>
        <v>0</v>
      </c>
      <c r="J124" s="185">
        <f t="shared" si="61"/>
        <v>31605</v>
      </c>
      <c r="K124" s="179"/>
      <c r="L124" s="120"/>
      <c r="M124" s="120"/>
      <c r="N124" s="128"/>
      <c r="O124" s="128"/>
      <c r="P124" s="28"/>
      <c r="Q124" s="28"/>
    </row>
    <row r="125" spans="1:17" ht="14.25">
      <c r="A125" s="28"/>
      <c r="B125" s="160"/>
      <c r="C125" s="170">
        <f t="shared" si="56"/>
        <v>77</v>
      </c>
      <c r="D125" s="185">
        <f t="shared" si="57"/>
        <v>31605</v>
      </c>
      <c r="E125" s="185"/>
      <c r="F125" s="185">
        <f t="shared" si="58"/>
        <v>22050</v>
      </c>
      <c r="G125" s="185">
        <f t="shared" si="58"/>
        <v>9555</v>
      </c>
      <c r="H125" s="185">
        <f t="shared" si="59"/>
        <v>0</v>
      </c>
      <c r="I125" s="186">
        <f t="shared" si="60"/>
        <v>0</v>
      </c>
      <c r="J125" s="185">
        <f t="shared" si="61"/>
        <v>31605</v>
      </c>
      <c r="K125" s="179"/>
      <c r="L125" s="120"/>
      <c r="M125" s="120"/>
      <c r="N125" s="128"/>
      <c r="O125" s="128"/>
      <c r="P125" s="28"/>
      <c r="Q125" s="28"/>
    </row>
    <row r="126" spans="1:17" ht="14.25">
      <c r="A126" s="28"/>
      <c r="B126" s="160"/>
      <c r="C126" s="170">
        <f t="shared" si="56"/>
        <v>78</v>
      </c>
      <c r="D126" s="185">
        <f t="shared" si="57"/>
        <v>31605</v>
      </c>
      <c r="E126" s="185"/>
      <c r="F126" s="185">
        <f t="shared" si="58"/>
        <v>22050</v>
      </c>
      <c r="G126" s="185">
        <f t="shared" si="58"/>
        <v>9555</v>
      </c>
      <c r="H126" s="185">
        <f t="shared" si="59"/>
        <v>0</v>
      </c>
      <c r="I126" s="186">
        <f t="shared" si="60"/>
        <v>0</v>
      </c>
      <c r="J126" s="185">
        <f t="shared" si="61"/>
        <v>31605</v>
      </c>
      <c r="K126" s="179"/>
      <c r="L126" s="120"/>
      <c r="M126" s="120"/>
      <c r="N126" s="128"/>
      <c r="O126" s="128"/>
      <c r="P126" s="28"/>
      <c r="Q126" s="28"/>
    </row>
    <row r="127" spans="1:17" ht="14.25">
      <c r="A127" s="28"/>
      <c r="B127" s="160"/>
      <c r="C127" s="170">
        <f t="shared" si="56"/>
        <v>79</v>
      </c>
      <c r="D127" s="185">
        <f t="shared" si="57"/>
        <v>31605</v>
      </c>
      <c r="E127" s="185"/>
      <c r="F127" s="185">
        <f t="shared" si="58"/>
        <v>22050</v>
      </c>
      <c r="G127" s="185">
        <f t="shared" si="58"/>
        <v>9555</v>
      </c>
      <c r="H127" s="185">
        <f t="shared" si="59"/>
        <v>0</v>
      </c>
      <c r="I127" s="186">
        <f t="shared" si="60"/>
        <v>0</v>
      </c>
      <c r="J127" s="185">
        <f t="shared" si="61"/>
        <v>31605</v>
      </c>
      <c r="K127" s="179"/>
      <c r="L127" s="120"/>
      <c r="M127" s="120"/>
      <c r="N127" s="128"/>
      <c r="O127" s="128"/>
      <c r="P127" s="28"/>
      <c r="Q127" s="28"/>
    </row>
    <row r="128" spans="1:17" ht="14.25">
      <c r="A128" s="28"/>
      <c r="B128" s="160"/>
      <c r="C128" s="170">
        <f t="shared" si="56"/>
        <v>80</v>
      </c>
      <c r="D128" s="185">
        <f t="shared" si="57"/>
        <v>22050</v>
      </c>
      <c r="E128" s="185"/>
      <c r="F128" s="185">
        <f aca="true" t="shared" si="62" ref="F128:G147">E69*12</f>
        <v>0</v>
      </c>
      <c r="G128" s="185">
        <f t="shared" si="62"/>
        <v>22050</v>
      </c>
      <c r="H128" s="185">
        <f t="shared" si="59"/>
        <v>0</v>
      </c>
      <c r="I128" s="186">
        <f t="shared" si="60"/>
        <v>0</v>
      </c>
      <c r="J128" s="185">
        <f t="shared" si="61"/>
        <v>22050</v>
      </c>
      <c r="K128" s="179"/>
      <c r="L128" s="120"/>
      <c r="M128" s="120"/>
      <c r="N128" s="128"/>
      <c r="O128" s="128"/>
      <c r="P128" s="28"/>
      <c r="Q128" s="28"/>
    </row>
    <row r="129" spans="1:17" ht="14.25">
      <c r="A129" s="28"/>
      <c r="B129" s="160"/>
      <c r="C129" s="170">
        <f t="shared" si="56"/>
        <v>81</v>
      </c>
      <c r="D129" s="185">
        <f t="shared" si="57"/>
        <v>22050</v>
      </c>
      <c r="E129" s="185"/>
      <c r="F129" s="185">
        <f t="shared" si="62"/>
        <v>0</v>
      </c>
      <c r="G129" s="185">
        <f t="shared" si="62"/>
        <v>22050</v>
      </c>
      <c r="H129" s="185">
        <f t="shared" si="59"/>
        <v>0</v>
      </c>
      <c r="I129" s="186">
        <f t="shared" si="60"/>
        <v>0</v>
      </c>
      <c r="J129" s="185">
        <f t="shared" si="61"/>
        <v>22050</v>
      </c>
      <c r="K129" s="179"/>
      <c r="L129" s="120"/>
      <c r="M129" s="120"/>
      <c r="N129" s="128"/>
      <c r="O129" s="128"/>
      <c r="P129" s="28"/>
      <c r="Q129" s="28"/>
    </row>
    <row r="130" spans="1:17" ht="14.25">
      <c r="A130" s="28"/>
      <c r="B130" s="160"/>
      <c r="C130" s="170">
        <f t="shared" si="56"/>
        <v>82</v>
      </c>
      <c r="D130" s="185">
        <f t="shared" si="57"/>
        <v>22050</v>
      </c>
      <c r="E130" s="185"/>
      <c r="F130" s="185">
        <f t="shared" si="62"/>
        <v>0</v>
      </c>
      <c r="G130" s="185">
        <f t="shared" si="62"/>
        <v>22050</v>
      </c>
      <c r="H130" s="185">
        <f t="shared" si="59"/>
        <v>0</v>
      </c>
      <c r="I130" s="186">
        <f t="shared" si="60"/>
        <v>0</v>
      </c>
      <c r="J130" s="185">
        <f t="shared" si="61"/>
        <v>22050</v>
      </c>
      <c r="K130" s="179"/>
      <c r="L130" s="120"/>
      <c r="M130" s="120"/>
      <c r="N130" s="128"/>
      <c r="O130" s="128"/>
      <c r="P130" s="28"/>
      <c r="Q130" s="28"/>
    </row>
    <row r="131" spans="1:17" ht="14.25">
      <c r="A131" s="28"/>
      <c r="B131" s="160"/>
      <c r="C131" s="170">
        <f t="shared" si="56"/>
        <v>83</v>
      </c>
      <c r="D131" s="185">
        <f t="shared" si="57"/>
        <v>22050</v>
      </c>
      <c r="E131" s="185"/>
      <c r="F131" s="185">
        <f t="shared" si="62"/>
        <v>0</v>
      </c>
      <c r="G131" s="185">
        <f t="shared" si="62"/>
        <v>22050</v>
      </c>
      <c r="H131" s="185">
        <f t="shared" si="59"/>
        <v>0</v>
      </c>
      <c r="I131" s="186">
        <f t="shared" si="60"/>
        <v>0</v>
      </c>
      <c r="J131" s="185">
        <f t="shared" si="61"/>
        <v>22050</v>
      </c>
      <c r="K131" s="179"/>
      <c r="L131" s="120"/>
      <c r="M131" s="120"/>
      <c r="N131" s="128"/>
      <c r="O131" s="128"/>
      <c r="P131" s="28"/>
      <c r="Q131" s="28"/>
    </row>
    <row r="132" spans="1:17" ht="14.25">
      <c r="A132" s="28"/>
      <c r="B132" s="160"/>
      <c r="C132" s="170">
        <f t="shared" si="56"/>
        <v>84</v>
      </c>
      <c r="D132" s="185">
        <f t="shared" si="57"/>
        <v>22050</v>
      </c>
      <c r="E132" s="185"/>
      <c r="F132" s="185">
        <f t="shared" si="62"/>
        <v>0</v>
      </c>
      <c r="G132" s="185">
        <f t="shared" si="62"/>
        <v>22050</v>
      </c>
      <c r="H132" s="185">
        <f t="shared" si="59"/>
        <v>0</v>
      </c>
      <c r="I132" s="186">
        <f t="shared" si="60"/>
        <v>0</v>
      </c>
      <c r="J132" s="185">
        <f t="shared" si="61"/>
        <v>22050</v>
      </c>
      <c r="K132" s="179"/>
      <c r="L132" s="120"/>
      <c r="M132" s="120"/>
      <c r="N132" s="128"/>
      <c r="O132" s="128"/>
      <c r="P132" s="28"/>
      <c r="Q132" s="28"/>
    </row>
    <row r="133" spans="1:17" ht="14.25">
      <c r="A133" s="28"/>
      <c r="B133" s="160"/>
      <c r="C133" s="170">
        <f t="shared" si="56"/>
        <v>85</v>
      </c>
      <c r="D133" s="185">
        <f t="shared" si="57"/>
        <v>22050</v>
      </c>
      <c r="E133" s="185"/>
      <c r="F133" s="185">
        <f t="shared" si="62"/>
        <v>0</v>
      </c>
      <c r="G133" s="185">
        <f t="shared" si="62"/>
        <v>22050</v>
      </c>
      <c r="H133" s="185">
        <f t="shared" si="59"/>
        <v>0</v>
      </c>
      <c r="I133" s="186">
        <f t="shared" si="60"/>
        <v>0</v>
      </c>
      <c r="J133" s="185">
        <f t="shared" si="61"/>
        <v>22050</v>
      </c>
      <c r="K133" s="179"/>
      <c r="L133" s="120"/>
      <c r="M133" s="120"/>
      <c r="N133" s="128"/>
      <c r="O133" s="128"/>
      <c r="P133" s="28"/>
      <c r="Q133" s="28"/>
    </row>
    <row r="134" spans="1:17" ht="14.25">
      <c r="A134" s="28"/>
      <c r="B134" s="160"/>
      <c r="C134" s="170">
        <f t="shared" si="56"/>
        <v>86</v>
      </c>
      <c r="D134" s="185">
        <f t="shared" si="57"/>
        <v>22050</v>
      </c>
      <c r="E134" s="185"/>
      <c r="F134" s="185">
        <f t="shared" si="62"/>
        <v>0</v>
      </c>
      <c r="G134" s="185">
        <f t="shared" si="62"/>
        <v>22050</v>
      </c>
      <c r="H134" s="185">
        <f t="shared" si="59"/>
        <v>0</v>
      </c>
      <c r="I134" s="186">
        <f t="shared" si="60"/>
        <v>0</v>
      </c>
      <c r="J134" s="185">
        <f t="shared" si="61"/>
        <v>22050</v>
      </c>
      <c r="K134" s="179"/>
      <c r="L134" s="120"/>
      <c r="M134" s="120"/>
      <c r="N134" s="128"/>
      <c r="O134" s="128"/>
      <c r="P134" s="28"/>
      <c r="Q134" s="28"/>
    </row>
    <row r="135" spans="1:17" ht="14.25">
      <c r="A135" s="28"/>
      <c r="B135" s="160"/>
      <c r="C135" s="170">
        <f t="shared" si="56"/>
        <v>87</v>
      </c>
      <c r="D135" s="185">
        <f t="shared" si="57"/>
        <v>22050</v>
      </c>
      <c r="E135" s="185"/>
      <c r="F135" s="185">
        <f t="shared" si="62"/>
        <v>0</v>
      </c>
      <c r="G135" s="185">
        <f t="shared" si="62"/>
        <v>22050</v>
      </c>
      <c r="H135" s="185">
        <f t="shared" si="59"/>
        <v>0</v>
      </c>
      <c r="I135" s="186">
        <f t="shared" si="60"/>
        <v>0</v>
      </c>
      <c r="J135" s="185">
        <f t="shared" si="61"/>
        <v>22050</v>
      </c>
      <c r="K135" s="179"/>
      <c r="L135" s="120"/>
      <c r="M135" s="120"/>
      <c r="N135" s="128"/>
      <c r="O135" s="128"/>
      <c r="P135" s="28"/>
      <c r="Q135" s="28"/>
    </row>
    <row r="136" spans="1:17" ht="14.25">
      <c r="A136" s="28"/>
      <c r="B136" s="160"/>
      <c r="C136" s="170">
        <f t="shared" si="56"/>
        <v>88</v>
      </c>
      <c r="D136" s="185">
        <f t="shared" si="57"/>
        <v>22050</v>
      </c>
      <c r="E136" s="185"/>
      <c r="F136" s="185">
        <f t="shared" si="62"/>
        <v>0</v>
      </c>
      <c r="G136" s="185">
        <f t="shared" si="62"/>
        <v>22050</v>
      </c>
      <c r="H136" s="185">
        <f t="shared" si="59"/>
        <v>0</v>
      </c>
      <c r="I136" s="186">
        <f t="shared" si="60"/>
        <v>0</v>
      </c>
      <c r="J136" s="185">
        <f t="shared" si="61"/>
        <v>22050</v>
      </c>
      <c r="K136" s="179"/>
      <c r="L136" s="120"/>
      <c r="M136" s="120"/>
      <c r="N136" s="128"/>
      <c r="O136" s="128"/>
      <c r="P136" s="28"/>
      <c r="Q136" s="28"/>
    </row>
    <row r="137" spans="1:17" ht="14.25">
      <c r="A137" s="28"/>
      <c r="B137" s="160"/>
      <c r="C137" s="170">
        <f t="shared" si="56"/>
        <v>89</v>
      </c>
      <c r="D137" s="185">
        <f t="shared" si="57"/>
        <v>22050</v>
      </c>
      <c r="E137" s="185"/>
      <c r="F137" s="185">
        <f t="shared" si="62"/>
        <v>0</v>
      </c>
      <c r="G137" s="185">
        <f t="shared" si="62"/>
        <v>22050</v>
      </c>
      <c r="H137" s="185">
        <f t="shared" si="59"/>
        <v>0</v>
      </c>
      <c r="I137" s="186">
        <f t="shared" si="60"/>
        <v>0</v>
      </c>
      <c r="J137" s="185">
        <f t="shared" si="61"/>
        <v>22050</v>
      </c>
      <c r="K137" s="179"/>
      <c r="L137" s="120"/>
      <c r="M137" s="120"/>
      <c r="N137" s="128"/>
      <c r="O137" s="128"/>
      <c r="P137" s="28"/>
      <c r="Q137" s="28"/>
    </row>
    <row r="138" spans="1:17" ht="14.25">
      <c r="A138" s="28"/>
      <c r="B138" s="160"/>
      <c r="C138" s="170">
        <f t="shared" si="56"/>
        <v>90</v>
      </c>
      <c r="D138" s="185">
        <f t="shared" si="57"/>
        <v>22050</v>
      </c>
      <c r="E138" s="185"/>
      <c r="F138" s="185">
        <f t="shared" si="62"/>
        <v>0</v>
      </c>
      <c r="G138" s="185">
        <f t="shared" si="62"/>
        <v>22050</v>
      </c>
      <c r="H138" s="185">
        <f t="shared" si="59"/>
        <v>0</v>
      </c>
      <c r="I138" s="186">
        <f t="shared" si="60"/>
        <v>0</v>
      </c>
      <c r="J138" s="185">
        <f t="shared" si="61"/>
        <v>22050</v>
      </c>
      <c r="K138" s="179"/>
      <c r="L138" s="120"/>
      <c r="M138" s="120"/>
      <c r="N138" s="128"/>
      <c r="O138" s="128"/>
      <c r="P138" s="28"/>
      <c r="Q138" s="28"/>
    </row>
    <row r="139" spans="1:17" ht="14.25">
      <c r="A139" s="28"/>
      <c r="B139" s="160"/>
      <c r="C139" s="170">
        <f t="shared" si="56"/>
        <v>91</v>
      </c>
      <c r="D139" s="185">
        <f t="shared" si="57"/>
        <v>22050</v>
      </c>
      <c r="E139" s="185"/>
      <c r="F139" s="185">
        <f t="shared" si="62"/>
        <v>0</v>
      </c>
      <c r="G139" s="185">
        <f t="shared" si="62"/>
        <v>22050</v>
      </c>
      <c r="H139" s="185">
        <f t="shared" si="59"/>
        <v>0</v>
      </c>
      <c r="I139" s="186">
        <f t="shared" si="60"/>
        <v>0</v>
      </c>
      <c r="J139" s="185">
        <f t="shared" si="61"/>
        <v>22050</v>
      </c>
      <c r="K139" s="179"/>
      <c r="L139" s="120"/>
      <c r="M139" s="120"/>
      <c r="N139" s="128"/>
      <c r="O139" s="128"/>
      <c r="P139" s="28"/>
      <c r="Q139" s="28"/>
    </row>
    <row r="140" spans="1:17" ht="14.25">
      <c r="A140" s="28"/>
      <c r="B140" s="160"/>
      <c r="C140" s="170">
        <f aca="true" t="shared" si="63" ref="C140:C159">C81</f>
        <v>92</v>
      </c>
      <c r="D140" s="185">
        <f aca="true" t="shared" si="64" ref="D140:D159">K81</f>
        <v>22050</v>
      </c>
      <c r="E140" s="185"/>
      <c r="F140" s="185">
        <f t="shared" si="62"/>
        <v>0</v>
      </c>
      <c r="G140" s="185">
        <f t="shared" si="62"/>
        <v>22050</v>
      </c>
      <c r="H140" s="185">
        <f aca="true" t="shared" si="65" ref="H140:H159">(G81+I81)*12</f>
        <v>0</v>
      </c>
      <c r="I140" s="186">
        <f t="shared" si="60"/>
        <v>0</v>
      </c>
      <c r="J140" s="185">
        <f t="shared" si="61"/>
        <v>22050</v>
      </c>
      <c r="K140" s="179"/>
      <c r="L140" s="120"/>
      <c r="M140" s="120"/>
      <c r="N140" s="128"/>
      <c r="O140" s="128"/>
      <c r="P140" s="28"/>
      <c r="Q140" s="28"/>
    </row>
    <row r="141" spans="1:17" ht="14.25">
      <c r="A141" s="28"/>
      <c r="B141" s="160"/>
      <c r="C141" s="170">
        <f t="shared" si="63"/>
        <v>93</v>
      </c>
      <c r="D141" s="185">
        <f t="shared" si="64"/>
        <v>0</v>
      </c>
      <c r="E141" s="185"/>
      <c r="F141" s="185">
        <f t="shared" si="62"/>
        <v>0</v>
      </c>
      <c r="G141" s="185">
        <f t="shared" si="62"/>
        <v>0</v>
      </c>
      <c r="H141" s="185">
        <f t="shared" si="65"/>
        <v>0</v>
      </c>
      <c r="I141" s="186">
        <f t="shared" si="60"/>
        <v>0</v>
      </c>
      <c r="J141" s="185">
        <f t="shared" si="61"/>
        <v>0</v>
      </c>
      <c r="K141" s="179"/>
      <c r="L141" s="120"/>
      <c r="M141" s="120"/>
      <c r="N141" s="128"/>
      <c r="O141" s="128"/>
      <c r="P141" s="28"/>
      <c r="Q141" s="28"/>
    </row>
    <row r="142" spans="1:17" ht="14.25">
      <c r="A142" s="28"/>
      <c r="B142" s="160"/>
      <c r="C142" s="170">
        <f t="shared" si="63"/>
        <v>94</v>
      </c>
      <c r="D142" s="185">
        <f t="shared" si="64"/>
        <v>0</v>
      </c>
      <c r="E142" s="185"/>
      <c r="F142" s="185">
        <f t="shared" si="62"/>
        <v>0</v>
      </c>
      <c r="G142" s="185">
        <f t="shared" si="62"/>
        <v>0</v>
      </c>
      <c r="H142" s="185">
        <f t="shared" si="65"/>
        <v>0</v>
      </c>
      <c r="I142" s="186">
        <f t="shared" si="60"/>
        <v>0</v>
      </c>
      <c r="J142" s="185">
        <f t="shared" si="61"/>
        <v>0</v>
      </c>
      <c r="K142" s="179"/>
      <c r="L142" s="120"/>
      <c r="M142" s="120"/>
      <c r="N142" s="128"/>
      <c r="O142" s="128"/>
      <c r="P142" s="28"/>
      <c r="Q142" s="28"/>
    </row>
    <row r="143" spans="1:17" ht="14.25">
      <c r="A143" s="28"/>
      <c r="B143" s="160"/>
      <c r="C143" s="170">
        <f t="shared" si="63"/>
        <v>95</v>
      </c>
      <c r="D143" s="185">
        <f t="shared" si="64"/>
        <v>0</v>
      </c>
      <c r="E143" s="185"/>
      <c r="F143" s="185">
        <f t="shared" si="62"/>
        <v>0</v>
      </c>
      <c r="G143" s="185">
        <f t="shared" si="62"/>
        <v>0</v>
      </c>
      <c r="H143" s="185">
        <f t="shared" si="65"/>
        <v>0</v>
      </c>
      <c r="I143" s="186">
        <f t="shared" si="60"/>
        <v>0</v>
      </c>
      <c r="J143" s="185">
        <f t="shared" si="61"/>
        <v>0</v>
      </c>
      <c r="K143" s="179"/>
      <c r="L143" s="120"/>
      <c r="M143" s="120"/>
      <c r="N143" s="128"/>
      <c r="O143" s="128"/>
      <c r="P143" s="28"/>
      <c r="Q143" s="28"/>
    </row>
    <row r="144" spans="1:17" ht="14.25">
      <c r="A144" s="28"/>
      <c r="B144" s="160"/>
      <c r="C144" s="170">
        <f t="shared" si="63"/>
        <v>96</v>
      </c>
      <c r="D144" s="185">
        <f t="shared" si="64"/>
        <v>0</v>
      </c>
      <c r="E144" s="185"/>
      <c r="F144" s="185">
        <f t="shared" si="62"/>
        <v>0</v>
      </c>
      <c r="G144" s="185">
        <f t="shared" si="62"/>
        <v>0</v>
      </c>
      <c r="H144" s="185">
        <f t="shared" si="65"/>
        <v>0</v>
      </c>
      <c r="I144" s="186">
        <f t="shared" si="60"/>
        <v>0</v>
      </c>
      <c r="J144" s="185">
        <f t="shared" si="61"/>
        <v>0</v>
      </c>
      <c r="K144" s="179"/>
      <c r="L144" s="120"/>
      <c r="M144" s="120"/>
      <c r="N144" s="128"/>
      <c r="O144" s="128"/>
      <c r="P144" s="28"/>
      <c r="Q144" s="28"/>
    </row>
    <row r="145" spans="1:17" ht="14.25">
      <c r="A145" s="28"/>
      <c r="B145" s="160"/>
      <c r="C145" s="170">
        <f t="shared" si="63"/>
        <v>97</v>
      </c>
      <c r="D145" s="185">
        <f t="shared" si="64"/>
        <v>0</v>
      </c>
      <c r="E145" s="185"/>
      <c r="F145" s="185">
        <f t="shared" si="62"/>
        <v>0</v>
      </c>
      <c r="G145" s="185">
        <f t="shared" si="62"/>
        <v>0</v>
      </c>
      <c r="H145" s="185">
        <f t="shared" si="65"/>
        <v>0</v>
      </c>
      <c r="I145" s="186">
        <f t="shared" si="60"/>
        <v>0</v>
      </c>
      <c r="J145" s="185">
        <f t="shared" si="61"/>
        <v>0</v>
      </c>
      <c r="K145" s="179"/>
      <c r="L145" s="120"/>
      <c r="M145" s="120"/>
      <c r="N145" s="128"/>
      <c r="O145" s="128"/>
      <c r="P145" s="28"/>
      <c r="Q145" s="28"/>
    </row>
    <row r="146" spans="1:17" ht="14.25">
      <c r="A146" s="28"/>
      <c r="B146" s="160"/>
      <c r="C146" s="170">
        <f t="shared" si="63"/>
        <v>98</v>
      </c>
      <c r="D146" s="185">
        <f t="shared" si="64"/>
        <v>0</v>
      </c>
      <c r="E146" s="185"/>
      <c r="F146" s="185">
        <f t="shared" si="62"/>
        <v>0</v>
      </c>
      <c r="G146" s="185">
        <f t="shared" si="62"/>
        <v>0</v>
      </c>
      <c r="H146" s="185">
        <f t="shared" si="65"/>
        <v>0</v>
      </c>
      <c r="I146" s="186">
        <f t="shared" si="60"/>
        <v>0</v>
      </c>
      <c r="J146" s="185">
        <f t="shared" si="61"/>
        <v>0</v>
      </c>
      <c r="K146" s="179"/>
      <c r="L146" s="120"/>
      <c r="M146" s="120"/>
      <c r="N146" s="128"/>
      <c r="O146" s="128"/>
      <c r="P146" s="28"/>
      <c r="Q146" s="28"/>
    </row>
    <row r="147" spans="1:17" ht="14.25">
      <c r="A147" s="28"/>
      <c r="B147" s="160"/>
      <c r="C147" s="170">
        <f t="shared" si="63"/>
        <v>99</v>
      </c>
      <c r="D147" s="185">
        <f t="shared" si="64"/>
        <v>0</v>
      </c>
      <c r="E147" s="185"/>
      <c r="F147" s="185">
        <f t="shared" si="62"/>
        <v>0</v>
      </c>
      <c r="G147" s="185">
        <f t="shared" si="62"/>
        <v>0</v>
      </c>
      <c r="H147" s="185">
        <f t="shared" si="65"/>
        <v>0</v>
      </c>
      <c r="I147" s="186">
        <f t="shared" si="60"/>
        <v>0</v>
      </c>
      <c r="J147" s="185">
        <f t="shared" si="61"/>
        <v>0</v>
      </c>
      <c r="K147" s="179"/>
      <c r="L147" s="120"/>
      <c r="M147" s="120"/>
      <c r="N147" s="128"/>
      <c r="O147" s="128"/>
      <c r="P147" s="28"/>
      <c r="Q147" s="28"/>
    </row>
    <row r="148" spans="1:17" ht="14.25">
      <c r="A148" s="28"/>
      <c r="B148" s="160"/>
      <c r="C148" s="170">
        <f t="shared" si="63"/>
        <v>100</v>
      </c>
      <c r="D148" s="185">
        <f t="shared" si="64"/>
        <v>0</v>
      </c>
      <c r="E148" s="185"/>
      <c r="F148" s="185">
        <f aca="true" t="shared" si="66" ref="F148:G155">E89*12</f>
        <v>0</v>
      </c>
      <c r="G148" s="185">
        <f t="shared" si="66"/>
        <v>0</v>
      </c>
      <c r="H148" s="185">
        <f t="shared" si="65"/>
        <v>0</v>
      </c>
      <c r="I148" s="186">
        <f t="shared" si="60"/>
        <v>0</v>
      </c>
      <c r="J148" s="185">
        <f t="shared" si="61"/>
        <v>0</v>
      </c>
      <c r="K148" s="179"/>
      <c r="L148" s="120"/>
      <c r="M148" s="120"/>
      <c r="N148" s="128"/>
      <c r="O148" s="128"/>
      <c r="P148" s="28"/>
      <c r="Q148" s="28"/>
    </row>
    <row r="149" spans="1:17" ht="14.25">
      <c r="A149" s="28"/>
      <c r="B149" s="160"/>
      <c r="C149" s="170">
        <f t="shared" si="63"/>
        <v>101</v>
      </c>
      <c r="D149" s="185">
        <f t="shared" si="64"/>
        <v>0</v>
      </c>
      <c r="E149" s="185"/>
      <c r="F149" s="185">
        <f t="shared" si="66"/>
        <v>0</v>
      </c>
      <c r="G149" s="185">
        <f t="shared" si="66"/>
        <v>0</v>
      </c>
      <c r="H149" s="185">
        <f t="shared" si="65"/>
        <v>0</v>
      </c>
      <c r="I149" s="186">
        <f t="shared" si="60"/>
        <v>0</v>
      </c>
      <c r="J149" s="185">
        <f t="shared" si="61"/>
        <v>0</v>
      </c>
      <c r="K149" s="179"/>
      <c r="L149" s="120"/>
      <c r="M149" s="120"/>
      <c r="N149" s="128"/>
      <c r="O149" s="128"/>
      <c r="P149" s="28"/>
      <c r="Q149" s="28"/>
    </row>
    <row r="150" spans="1:17" ht="14.25">
      <c r="A150" s="28"/>
      <c r="B150" s="160"/>
      <c r="C150" s="170">
        <f t="shared" si="63"/>
        <v>102</v>
      </c>
      <c r="D150" s="185">
        <f t="shared" si="64"/>
        <v>0</v>
      </c>
      <c r="E150" s="185"/>
      <c r="F150" s="185">
        <f t="shared" si="66"/>
        <v>0</v>
      </c>
      <c r="G150" s="185">
        <f t="shared" si="66"/>
        <v>0</v>
      </c>
      <c r="H150" s="185">
        <f t="shared" si="65"/>
        <v>0</v>
      </c>
      <c r="I150" s="186">
        <f t="shared" si="60"/>
        <v>0</v>
      </c>
      <c r="J150" s="185">
        <f t="shared" si="61"/>
        <v>0</v>
      </c>
      <c r="K150" s="179"/>
      <c r="L150" s="120"/>
      <c r="M150" s="120"/>
      <c r="N150" s="128"/>
      <c r="O150" s="128"/>
      <c r="P150" s="28"/>
      <c r="Q150" s="28"/>
    </row>
    <row r="151" spans="1:17" ht="14.25">
      <c r="A151" s="28"/>
      <c r="B151" s="160"/>
      <c r="C151" s="170">
        <f t="shared" si="63"/>
        <v>103</v>
      </c>
      <c r="D151" s="185">
        <f t="shared" si="64"/>
        <v>0</v>
      </c>
      <c r="E151" s="185"/>
      <c r="F151" s="185">
        <f t="shared" si="66"/>
        <v>0</v>
      </c>
      <c r="G151" s="185">
        <f t="shared" si="66"/>
        <v>0</v>
      </c>
      <c r="H151" s="185">
        <f t="shared" si="65"/>
        <v>0</v>
      </c>
      <c r="I151" s="186">
        <f t="shared" si="60"/>
        <v>0</v>
      </c>
      <c r="J151" s="185">
        <f t="shared" si="61"/>
        <v>0</v>
      </c>
      <c r="K151" s="179"/>
      <c r="L151" s="120"/>
      <c r="M151" s="120"/>
      <c r="N151" s="128"/>
      <c r="O151" s="128"/>
      <c r="P151" s="28"/>
      <c r="Q151" s="28"/>
    </row>
    <row r="152" spans="1:17" ht="14.25">
      <c r="A152" s="28"/>
      <c r="B152" s="160"/>
      <c r="C152" s="170">
        <f t="shared" si="63"/>
        <v>104</v>
      </c>
      <c r="D152" s="185">
        <f t="shared" si="64"/>
        <v>0</v>
      </c>
      <c r="E152" s="185"/>
      <c r="F152" s="185">
        <f t="shared" si="66"/>
        <v>0</v>
      </c>
      <c r="G152" s="185">
        <f t="shared" si="66"/>
        <v>0</v>
      </c>
      <c r="H152" s="185">
        <f t="shared" si="65"/>
        <v>0</v>
      </c>
      <c r="I152" s="186">
        <f t="shared" si="60"/>
        <v>0</v>
      </c>
      <c r="J152" s="185">
        <f t="shared" si="61"/>
        <v>0</v>
      </c>
      <c r="K152" s="179"/>
      <c r="L152" s="120"/>
      <c r="M152" s="120"/>
      <c r="N152" s="128"/>
      <c r="O152" s="128"/>
      <c r="P152" s="28"/>
      <c r="Q152" s="28"/>
    </row>
    <row r="153" spans="1:17" ht="14.25">
      <c r="A153" s="28"/>
      <c r="B153" s="160"/>
      <c r="C153" s="170">
        <f t="shared" si="63"/>
        <v>105</v>
      </c>
      <c r="D153" s="185">
        <f t="shared" si="64"/>
        <v>0</v>
      </c>
      <c r="E153" s="185"/>
      <c r="F153" s="185">
        <f t="shared" si="66"/>
        <v>0</v>
      </c>
      <c r="G153" s="185">
        <f t="shared" si="66"/>
        <v>0</v>
      </c>
      <c r="H153" s="185">
        <f t="shared" si="65"/>
        <v>0</v>
      </c>
      <c r="I153" s="186">
        <f t="shared" si="60"/>
        <v>0</v>
      </c>
      <c r="J153" s="185">
        <f t="shared" si="61"/>
        <v>0</v>
      </c>
      <c r="K153" s="179"/>
      <c r="L153" s="120"/>
      <c r="M153" s="120"/>
      <c r="N153" s="128"/>
      <c r="O153" s="128"/>
      <c r="P153" s="28"/>
      <c r="Q153" s="28"/>
    </row>
    <row r="154" spans="1:17" ht="14.25">
      <c r="A154" s="28"/>
      <c r="B154" s="160"/>
      <c r="C154" s="170">
        <f t="shared" si="63"/>
        <v>106</v>
      </c>
      <c r="D154" s="185">
        <f t="shared" si="64"/>
        <v>0</v>
      </c>
      <c r="E154" s="185"/>
      <c r="F154" s="185">
        <f t="shared" si="66"/>
        <v>0</v>
      </c>
      <c r="G154" s="185">
        <f t="shared" si="66"/>
        <v>0</v>
      </c>
      <c r="H154" s="185">
        <f t="shared" si="65"/>
        <v>0</v>
      </c>
      <c r="I154" s="186">
        <f t="shared" si="60"/>
        <v>0</v>
      </c>
      <c r="J154" s="185">
        <f t="shared" si="61"/>
        <v>0</v>
      </c>
      <c r="K154" s="179"/>
      <c r="L154" s="120"/>
      <c r="M154" s="120"/>
      <c r="N154" s="128"/>
      <c r="O154" s="128"/>
      <c r="P154" s="28"/>
      <c r="Q154" s="28"/>
    </row>
    <row r="155" spans="1:17" ht="14.25">
      <c r="A155" s="28"/>
      <c r="B155" s="160"/>
      <c r="C155" s="170">
        <f t="shared" si="63"/>
        <v>107</v>
      </c>
      <c r="D155" s="185">
        <f t="shared" si="64"/>
        <v>0</v>
      </c>
      <c r="E155" s="185"/>
      <c r="F155" s="185">
        <f t="shared" si="66"/>
        <v>0</v>
      </c>
      <c r="G155" s="185">
        <f t="shared" si="66"/>
        <v>0</v>
      </c>
      <c r="H155" s="185">
        <f t="shared" si="65"/>
        <v>0</v>
      </c>
      <c r="I155" s="186">
        <f t="shared" si="60"/>
        <v>0</v>
      </c>
      <c r="J155" s="185">
        <f t="shared" si="61"/>
        <v>0</v>
      </c>
      <c r="K155" s="179"/>
      <c r="L155" s="120"/>
      <c r="M155" s="120"/>
      <c r="N155" s="128"/>
      <c r="O155" s="128"/>
      <c r="P155" s="28"/>
      <c r="Q155" s="28"/>
    </row>
    <row r="156" spans="1:17" ht="14.25">
      <c r="A156" s="28"/>
      <c r="B156" s="160"/>
      <c r="C156" s="170">
        <f t="shared" si="63"/>
        <v>108</v>
      </c>
      <c r="D156" s="185">
        <f t="shared" si="64"/>
        <v>0</v>
      </c>
      <c r="E156" s="185"/>
      <c r="F156" s="185">
        <f aca="true" t="shared" si="67" ref="F156:G159">E97*12</f>
        <v>0</v>
      </c>
      <c r="G156" s="185">
        <f t="shared" si="67"/>
        <v>0</v>
      </c>
      <c r="H156" s="185">
        <f t="shared" si="65"/>
        <v>0</v>
      </c>
      <c r="I156" s="186">
        <f t="shared" si="60"/>
        <v>0</v>
      </c>
      <c r="J156" s="185">
        <f t="shared" si="61"/>
        <v>0</v>
      </c>
      <c r="K156" s="179"/>
      <c r="L156" s="120"/>
      <c r="M156" s="120"/>
      <c r="N156" s="128"/>
      <c r="O156" s="128"/>
      <c r="P156" s="28"/>
      <c r="Q156" s="28"/>
    </row>
    <row r="157" spans="1:17" ht="14.25">
      <c r="A157" s="28"/>
      <c r="B157" s="160"/>
      <c r="C157" s="170">
        <f t="shared" si="63"/>
        <v>109</v>
      </c>
      <c r="D157" s="185">
        <f t="shared" si="64"/>
        <v>0</v>
      </c>
      <c r="E157" s="185"/>
      <c r="F157" s="185">
        <f t="shared" si="67"/>
        <v>0</v>
      </c>
      <c r="G157" s="185">
        <f t="shared" si="67"/>
        <v>0</v>
      </c>
      <c r="H157" s="185">
        <f t="shared" si="65"/>
        <v>0</v>
      </c>
      <c r="I157" s="186">
        <f t="shared" si="60"/>
        <v>0</v>
      </c>
      <c r="J157" s="185">
        <f t="shared" si="61"/>
        <v>0</v>
      </c>
      <c r="K157" s="179"/>
      <c r="L157" s="120"/>
      <c r="M157" s="120"/>
      <c r="N157" s="128"/>
      <c r="O157" s="128"/>
      <c r="P157" s="28"/>
      <c r="Q157" s="28"/>
    </row>
    <row r="158" spans="1:17" ht="14.25">
      <c r="A158" s="28"/>
      <c r="B158" s="160"/>
      <c r="C158" s="170">
        <f t="shared" si="63"/>
        <v>110</v>
      </c>
      <c r="D158" s="185">
        <f t="shared" si="64"/>
        <v>0</v>
      </c>
      <c r="E158" s="185"/>
      <c r="F158" s="185">
        <f t="shared" si="67"/>
        <v>0</v>
      </c>
      <c r="G158" s="185">
        <f t="shared" si="67"/>
        <v>0</v>
      </c>
      <c r="H158" s="185">
        <f t="shared" si="65"/>
        <v>0</v>
      </c>
      <c r="I158" s="186">
        <f t="shared" si="60"/>
        <v>0</v>
      </c>
      <c r="J158" s="185">
        <f t="shared" si="61"/>
        <v>0</v>
      </c>
      <c r="K158" s="179"/>
      <c r="L158" s="120"/>
      <c r="M158" s="120"/>
      <c r="N158" s="128"/>
      <c r="O158" s="128"/>
      <c r="P158" s="28"/>
      <c r="Q158" s="28"/>
    </row>
    <row r="159" spans="1:17" ht="14.25">
      <c r="A159" s="28"/>
      <c r="B159" s="160"/>
      <c r="C159" s="170">
        <f t="shared" si="63"/>
        <v>111</v>
      </c>
      <c r="D159" s="185">
        <f t="shared" si="64"/>
        <v>0</v>
      </c>
      <c r="E159" s="185"/>
      <c r="F159" s="185">
        <f t="shared" si="67"/>
        <v>0</v>
      </c>
      <c r="G159" s="185">
        <f t="shared" si="67"/>
        <v>0</v>
      </c>
      <c r="H159" s="185">
        <f t="shared" si="65"/>
        <v>0</v>
      </c>
      <c r="I159" s="186">
        <f t="shared" si="60"/>
        <v>0</v>
      </c>
      <c r="J159" s="185">
        <f t="shared" si="61"/>
        <v>0</v>
      </c>
      <c r="K159" s="179"/>
      <c r="L159" s="120"/>
      <c r="M159" s="120"/>
      <c r="N159" s="128"/>
      <c r="O159" s="128"/>
      <c r="P159" s="28"/>
      <c r="Q159" s="28"/>
    </row>
    <row r="160" spans="1:11" s="11" customFormat="1" ht="14.25">
      <c r="A160" s="127"/>
      <c r="B160" s="127"/>
      <c r="C160" s="127"/>
      <c r="D160" s="127"/>
      <c r="E160" s="127"/>
      <c r="F160" s="127"/>
      <c r="G160" s="127"/>
      <c r="H160" s="127"/>
      <c r="I160" s="144"/>
      <c r="J160" s="127"/>
      <c r="K160" s="145"/>
    </row>
  </sheetData>
  <sheetProtection password="EA69" sheet="1" objects="1" scenarios="1"/>
  <conditionalFormatting sqref="E13:E20">
    <cfRule type="expression" priority="11" dxfId="18" stopIfTrue="1">
      <formula>$C$9=1</formula>
    </cfRule>
  </conditionalFormatting>
  <conditionalFormatting sqref="E13:E21">
    <cfRule type="expression" priority="10" dxfId="19" stopIfTrue="1">
      <formula>$C$9=1</formula>
    </cfRule>
  </conditionalFormatting>
  <conditionalFormatting sqref="F12">
    <cfRule type="expression" priority="5" dxfId="19" stopIfTrue="1">
      <formula>IF($C$9=1,1,0)</formula>
    </cfRule>
  </conditionalFormatting>
  <conditionalFormatting sqref="E12">
    <cfRule type="expression" priority="4" dxfId="18" stopIfTrue="1">
      <formula>$C$9=1</formula>
    </cfRule>
  </conditionalFormatting>
  <conditionalFormatting sqref="E12">
    <cfRule type="expression" priority="3" dxfId="19" stopIfTrue="1">
      <formula>$C$9=1</formula>
    </cfRule>
  </conditionalFormatting>
  <dataValidations count="6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OrEqual" allowBlank="1" showInputMessage="1" showErrorMessage="1" error="Must be whole number greater than 69.&#10;" sqref="D17:E17">
      <formula1>70</formula1>
    </dataValidation>
    <dataValidation type="whole" allowBlank="1" showInputMessage="1" showErrorMessage="1" error="Must be over 49 and less than 66.  Must be whole number like 61, not 61.5." sqref="D13">
      <formula1>50</formula1>
      <formula2>65</formula2>
    </dataValidation>
    <dataValidation allowBlank="1" showInputMessage="1" showErrorMessage="1" error="Must be whole number from 62 to 70" sqref="E15"/>
    <dataValidation operator="greaterThan" allowBlank="1" showInputMessage="1" showErrorMessage="1" error="Must be whole number from 62 to 70" sqref="D15"/>
    <dataValidation type="whole" allowBlank="1" showErrorMessage="1" error="Must be between 49 and 70.  Must be whole number like 61, not 61.5." sqref="E13">
      <formula1>50</formula1>
      <formula2>69</formula2>
    </dataValidation>
  </dataValidations>
  <printOptions/>
  <pageMargins left="0.7" right="0.7" top="0.75" bottom="0.75" header="0.3" footer="0.3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5" max="5" width="11.140625" style="0" customWidth="1"/>
    <col min="6" max="6" width="11.28125" style="0" customWidth="1"/>
    <col min="7" max="7" width="12.140625" style="0" customWidth="1"/>
    <col min="8" max="8" width="12.28125" style="0" customWidth="1"/>
    <col min="9" max="10" width="12.00390625" style="0" customWidth="1"/>
    <col min="11" max="11" width="15.57421875" style="11" customWidth="1"/>
    <col min="12" max="12" width="12.00390625" style="0" hidden="1" customWidth="1"/>
    <col min="13" max="20" width="9.140625" style="0" hidden="1" customWidth="1"/>
    <col min="21" max="21" width="11.00390625" style="0" hidden="1" customWidth="1"/>
    <col min="22" max="35" width="9.140625" style="0" hidden="1" customWidth="1"/>
    <col min="36" max="36" width="9.140625" style="150" hidden="1" customWidth="1"/>
    <col min="37" max="37" width="28.8515625" style="0" customWidth="1"/>
  </cols>
  <sheetData>
    <row r="1" spans="2:7" ht="14.25">
      <c r="B1" s="190" t="s">
        <v>303</v>
      </c>
      <c r="C1" s="129"/>
      <c r="D1" s="129"/>
      <c r="E1" s="129"/>
      <c r="F1" s="129"/>
      <c r="G1" s="129"/>
    </row>
    <row r="2" spans="2:7" ht="14.25">
      <c r="B2" s="190" t="s">
        <v>305</v>
      </c>
      <c r="C2" s="129"/>
      <c r="D2" s="129"/>
      <c r="E2" s="129"/>
      <c r="F2" s="129"/>
      <c r="G2" s="129"/>
    </row>
    <row r="3" spans="2:7" ht="14.25">
      <c r="B3" s="190" t="s">
        <v>306</v>
      </c>
      <c r="C3" s="129"/>
      <c r="D3" s="129"/>
      <c r="E3" s="129"/>
      <c r="F3" s="129"/>
      <c r="G3" s="129"/>
    </row>
    <row r="4" spans="2:7" ht="14.25">
      <c r="B4" s="190" t="s">
        <v>304</v>
      </c>
      <c r="C4" s="129"/>
      <c r="D4" s="129"/>
      <c r="E4" s="129"/>
      <c r="F4" s="129"/>
      <c r="G4" s="129"/>
    </row>
    <row r="6" spans="4:35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35" ht="18">
      <c r="B7" s="57" t="s">
        <v>66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2:35" ht="14.25">
      <c r="B8" s="5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3:35" ht="14.25">
      <c r="C9" t="s">
        <v>82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4.25">
      <c r="B10" s="58"/>
      <c r="C10" t="s">
        <v>240</v>
      </c>
      <c r="K10" s="91" t="s">
        <v>122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1:35" ht="14.25">
      <c r="K11" t="s">
        <v>194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4:35" ht="15">
      <c r="D12" s="98" t="str">
        <f>'Case 1 Income'!D12</f>
        <v>Bill</v>
      </c>
      <c r="E12" s="98" t="str">
        <f>'Case 1 Income'!F12</f>
        <v>Jane</v>
      </c>
      <c r="F12" s="58"/>
      <c r="I12" s="28"/>
      <c r="K12" s="19" t="s">
        <v>205</v>
      </c>
      <c r="L12" s="20"/>
      <c r="M12" s="127" t="str">
        <f>IF(G30=0,CONCATENATE("Social security &amp; pensions in today's $s vs. ",'Case 2 Income'!D12,"'s age"),G30)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3:35" ht="15">
      <c r="C13" s="14" t="s">
        <v>13</v>
      </c>
      <c r="D13" s="99">
        <f>'Case 1 Income'!D13</f>
        <v>60</v>
      </c>
      <c r="E13" s="100">
        <f>'Case 1 Income'!E13</f>
        <v>57</v>
      </c>
      <c r="F13" s="102" t="s">
        <v>131</v>
      </c>
      <c r="G13" s="92" t="s">
        <v>76</v>
      </c>
      <c r="H13" s="11"/>
      <c r="I13" s="11"/>
      <c r="K13" s="19" t="s">
        <v>204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</row>
    <row r="14" spans="3:35" ht="15">
      <c r="C14" s="14" t="s">
        <v>127</v>
      </c>
      <c r="D14" s="42">
        <v>68</v>
      </c>
      <c r="E14" s="42">
        <v>66</v>
      </c>
      <c r="F14" s="63" t="b">
        <f>AND(D14='Case 1 Income'!D14,E14='Case 1 Income'!E14)</f>
        <v>0</v>
      </c>
      <c r="G14" s="94">
        <v>2</v>
      </c>
      <c r="H14" s="11" t="s">
        <v>196</v>
      </c>
      <c r="I14" s="62">
        <f>G14-'Case 1 Income'!G14</f>
        <v>1</v>
      </c>
      <c r="K14" s="19" t="s">
        <v>129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</row>
    <row r="15" spans="3:35" ht="15">
      <c r="C15" s="14" t="s">
        <v>143</v>
      </c>
      <c r="D15" s="42">
        <v>62</v>
      </c>
      <c r="E15" s="126" t="str">
        <f>IF(G18=1,".","Same year")</f>
        <v>Same year</v>
      </c>
      <c r="F15" s="140">
        <f>D15-'Case 1 Income'!D15</f>
        <v>0</v>
      </c>
      <c r="G15" s="93"/>
      <c r="H15" s="11" t="s">
        <v>21</v>
      </c>
      <c r="I15" s="96"/>
      <c r="J15" s="28"/>
      <c r="K15" s="19" t="s">
        <v>178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</row>
    <row r="16" spans="3:35" ht="15">
      <c r="C16" s="14" t="s">
        <v>44</v>
      </c>
      <c r="D16" s="49">
        <f>'Case 1 Income'!D16</f>
        <v>2450</v>
      </c>
      <c r="E16" s="50">
        <f>'Case 1 Income'!E16</f>
        <v>800</v>
      </c>
      <c r="F16" s="63" t="b">
        <f>AND(D16='Case 1 Income'!D16,E16='Case 1 Income'!E16)</f>
        <v>1</v>
      </c>
      <c r="G16" s="93"/>
      <c r="H16" s="11" t="s">
        <v>210</v>
      </c>
      <c r="I16" s="96"/>
      <c r="J16" s="28"/>
      <c r="K16" s="19" t="s">
        <v>177</v>
      </c>
      <c r="L16" s="20"/>
      <c r="M16" s="20" t="s">
        <v>17</v>
      </c>
      <c r="N16" s="38">
        <f>D18</f>
        <v>0</v>
      </c>
      <c r="O16" s="38">
        <f>E18*IF(G18=1,0,1)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</row>
    <row r="17" spans="3:35" ht="15">
      <c r="C17" s="14" t="s">
        <v>121</v>
      </c>
      <c r="D17" s="42">
        <f>'Case 1 Income'!D17</f>
        <v>80</v>
      </c>
      <c r="E17" s="42">
        <f>'Case 1 Income'!E17</f>
        <v>90</v>
      </c>
      <c r="F17" s="63" t="b">
        <f>AND(D17='Case 1 Income'!D17,E17='Case 1 Income'!E17)</f>
        <v>1</v>
      </c>
      <c r="G17" s="93"/>
      <c r="H17" s="11" t="s">
        <v>189</v>
      </c>
      <c r="I17" s="96"/>
      <c r="J17" s="28"/>
      <c r="K17" s="19" t="s">
        <v>222</v>
      </c>
      <c r="L17" s="20"/>
      <c r="M17" s="20" t="s">
        <v>37</v>
      </c>
      <c r="N17" s="38">
        <f>VLOOKUP(70,N29:R80,5)</f>
        <v>3234</v>
      </c>
      <c r="O17" s="38">
        <f>VLOOKUP(70,U29:AE80,11)</f>
        <v>1225</v>
      </c>
      <c r="P17" s="38">
        <f>N17*(70-R16)-SUM(S29:S80)+H20*(65-D14)*IF(D14&gt;65,0,1)</f>
        <v>25872</v>
      </c>
      <c r="Q17" s="38">
        <f>IF(C9=1,0,1)*((70-S16)*O17-SUM(AF29:AF80)+H20*(65-E14)*IF(E14&gt;65,0,1))</f>
        <v>8575</v>
      </c>
      <c r="R17" s="20"/>
      <c r="S17" s="20"/>
      <c r="T17" s="20"/>
      <c r="U17" s="20"/>
      <c r="V17" s="116">
        <f>$D$16*(LOOKUP($D$14,$AG$29:$AH$80))</f>
        <v>2842</v>
      </c>
      <c r="W17" s="116">
        <f>$E$16*(VLOOKUP($E$14,$AG$29:$AI$80,2))</f>
        <v>800</v>
      </c>
      <c r="X17" s="20">
        <f>IF(V17&gt;W17,V17,W17)</f>
        <v>2842</v>
      </c>
      <c r="Y17" s="20">
        <f>X17</f>
        <v>2842</v>
      </c>
      <c r="Z17" s="20"/>
      <c r="AA17" s="103" t="s">
        <v>157</v>
      </c>
      <c r="AC17" s="129"/>
      <c r="AD17" s="135">
        <f>VLOOKUP(AD16,C49:K100,9)</f>
        <v>38808</v>
      </c>
      <c r="AE17" s="20"/>
      <c r="AF17" s="20"/>
      <c r="AG17" s="20"/>
      <c r="AH17" s="20"/>
      <c r="AI17" s="20"/>
    </row>
    <row r="18" spans="3:35" ht="15">
      <c r="C18" s="14" t="s">
        <v>174</v>
      </c>
      <c r="D18" s="50">
        <f>'Case 1 Income'!D18</f>
        <v>0</v>
      </c>
      <c r="E18" s="42">
        <f>'Case 1 Income'!E18</f>
        <v>0</v>
      </c>
      <c r="F18" s="63" t="b">
        <f>AND(D18='Case 1 Income'!D18,E18='Case 1 Income'!E18)</f>
        <v>1</v>
      </c>
      <c r="G18" s="95">
        <f>'Case 1 Income'!C9</f>
        <v>2</v>
      </c>
      <c r="H18" s="94" t="b">
        <v>0</v>
      </c>
      <c r="I18" s="94" t="b">
        <v>0</v>
      </c>
      <c r="K18" s="19" t="s">
        <v>221</v>
      </c>
      <c r="L18" s="20"/>
      <c r="M18" s="20" t="s">
        <v>125</v>
      </c>
      <c r="N18" s="38"/>
      <c r="O18" s="38"/>
      <c r="P18" s="39" t="s">
        <v>42</v>
      </c>
      <c r="Q18" s="38">
        <f>SUM(P16:Q17)*12</f>
        <v>413364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3:35" ht="15">
      <c r="C19" s="14" t="s">
        <v>74</v>
      </c>
      <c r="D19" s="48">
        <f>'Case 1 Income'!D19</f>
        <v>1</v>
      </c>
      <c r="E19" s="48">
        <f>'Case 1 Income'!E19</f>
        <v>1</v>
      </c>
      <c r="F19" s="63" t="b">
        <f>AND(D19='Case 1 Income'!D19,E19='Case 1 Income'!E19)</f>
        <v>1</v>
      </c>
      <c r="I19" s="1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</row>
    <row r="20" spans="3:9" ht="15">
      <c r="C20" s="14" t="s">
        <v>128</v>
      </c>
      <c r="D20" s="42">
        <f>'Case 1 Income'!D20</f>
        <v>62</v>
      </c>
      <c r="E20" s="42">
        <f>'Case 1 Income'!E20</f>
        <v>67</v>
      </c>
      <c r="F20" s="63" t="b">
        <f>AND(D20='Case 1 Income'!D20,E20='Case 1 Income'!E20)</f>
        <v>1</v>
      </c>
      <c r="G20" s="141">
        <f>H20-'Case 1 Income'!G21</f>
        <v>0</v>
      </c>
      <c r="H20" s="123">
        <f>'Case 1 Income'!G21</f>
        <v>0</v>
      </c>
      <c r="I20" s="11" t="s">
        <v>183</v>
      </c>
    </row>
    <row r="21" spans="3:9" ht="15">
      <c r="C21" s="14" t="s">
        <v>176</v>
      </c>
      <c r="D21" s="97"/>
      <c r="E21" s="97"/>
      <c r="G21" s="142">
        <f>H21-'Case 1 Income'!D23</f>
        <v>0</v>
      </c>
      <c r="H21" s="40">
        <f>'Case 1 Income'!D23</f>
        <v>0.045</v>
      </c>
      <c r="I21" s="124" t="s">
        <v>14</v>
      </c>
    </row>
    <row r="22" spans="1:35" ht="15">
      <c r="A22" s="58"/>
      <c r="B22" s="58"/>
      <c r="C22" s="59"/>
      <c r="D22" s="62">
        <f>IF(H18=TRUE,1,0)-IF('Case 1 Income'!H18=TRUE,1,0)</f>
        <v>0</v>
      </c>
      <c r="E22" s="62">
        <f>IF(I18=TRUE,1,0)-IF('Case 1 Income'!I18=TRUE,1-0)</f>
        <v>0</v>
      </c>
      <c r="J22" s="5"/>
      <c r="K22" s="114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137"/>
    </row>
    <row r="23" spans="2:35" ht="14.25">
      <c r="B23" s="91" t="s">
        <v>158</v>
      </c>
      <c r="G23" s="12" t="s">
        <v>75</v>
      </c>
      <c r="H23" s="51" t="s">
        <v>39</v>
      </c>
      <c r="I23" t="s">
        <v>126</v>
      </c>
      <c r="J23" s="5"/>
      <c r="K23" s="114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</row>
    <row r="24" spans="3:35" ht="14.25">
      <c r="C24" s="19"/>
      <c r="F24" s="14" t="s">
        <v>145</v>
      </c>
      <c r="G24" s="43">
        <f>ROUND('Case 1 Income'!G26,0)</f>
        <v>31605</v>
      </c>
      <c r="H24" s="43">
        <f>VLOOKUP(70,C106:J157,8)</f>
        <v>53508</v>
      </c>
      <c r="I24" s="182">
        <f>H24-G24</f>
        <v>21903</v>
      </c>
      <c r="J24" s="5"/>
      <c r="K24" s="114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</row>
    <row r="25" spans="3:35" ht="14.25">
      <c r="C25" s="19"/>
      <c r="F25" s="14" t="s">
        <v>146</v>
      </c>
      <c r="G25" s="43">
        <f>'Case 1 Income'!G27</f>
        <v>22050</v>
      </c>
      <c r="H25" s="43">
        <f>VLOOKUP(L111+1,C106:J157,8)</f>
        <v>38808</v>
      </c>
      <c r="I25" s="182">
        <f>H25-G25</f>
        <v>16758</v>
      </c>
      <c r="J25" s="5"/>
      <c r="K25" s="114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5:36" ht="14.25">
      <c r="E26" s="12"/>
      <c r="F26" s="14" t="s">
        <v>161</v>
      </c>
      <c r="G26" s="43">
        <f>ROUND('Case 1 Income'!G28,0)</f>
        <v>28665</v>
      </c>
      <c r="H26" s="43">
        <f>SUM(I106:I157)</f>
        <v>413364</v>
      </c>
      <c r="I26" s="182">
        <f>H26-G26</f>
        <v>384699</v>
      </c>
      <c r="J26" t="s">
        <v>132</v>
      </c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152"/>
    </row>
    <row r="27" spans="5:36" ht="14.25">
      <c r="E27" s="12"/>
      <c r="F27" s="113" t="s">
        <v>299</v>
      </c>
      <c r="G27" s="43">
        <f>ROUND('Case 1 Income'!G29,0)</f>
        <v>855540</v>
      </c>
      <c r="H27" s="43">
        <f>SUM(J108:J159)</f>
        <v>1467648</v>
      </c>
      <c r="I27" s="182">
        <f>H27-G27</f>
        <v>612108</v>
      </c>
      <c r="J27" t="s">
        <v>133</v>
      </c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186</v>
      </c>
      <c r="S27" s="5" t="s">
        <v>136</v>
      </c>
      <c r="T27" s="114" t="s">
        <v>208</v>
      </c>
      <c r="U27" s="35" t="str">
        <f>E12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151"/>
    </row>
    <row r="28" spans="6:36" ht="14.25">
      <c r="F28" s="113"/>
      <c r="H28" s="14" t="s">
        <v>184</v>
      </c>
      <c r="I28" s="183">
        <f>I27-I26</f>
        <v>227409</v>
      </c>
      <c r="J28" s="139"/>
      <c r="K28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179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P27</f>
        <v>Bill</v>
      </c>
      <c r="AI28" s="5" t="str">
        <f>U27</f>
        <v>Jane</v>
      </c>
      <c r="AJ28" s="151" t="s">
        <v>5</v>
      </c>
    </row>
    <row r="29" spans="5:36" ht="14.25">
      <c r="E29" s="118"/>
      <c r="H29" s="14"/>
      <c r="I29" s="115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IF($G$14=1,O29,IF($G$14=2,P29,Q29))-$H$20*IF(N29&lt;65,0,1)*IF(N29&gt;$D$17-1,0,1)+T29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IF($G$14=2,0.5*$E$16*IF(N29&lt;66,0,1)*IF(N29&gt;69,0,1),0)*IF($E$16&gt;0.5*$D$16,1,0)*IF('Case 1 Income'!$C$9=1,0,1)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60">IF(R29&gt;AC29,R29,AC29)*IF(C49&lt;$D$17,0,1)</f>
        <v>0</v>
      </c>
      <c r="AE29" s="84">
        <f>(IF(AC29&gt;AD29,AC29,AD29)-$H$20*IF(U29&lt;65,0,1)*IF(U29&gt;$E$17-1,0,1))*IF('Case 1 Income'!$C$9=1,0,1)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151">
        <v>1.32</v>
      </c>
    </row>
    <row r="30" spans="5:36" ht="14.25">
      <c r="E30" s="118"/>
      <c r="F30" s="14" t="s">
        <v>170</v>
      </c>
      <c r="G30" s="119"/>
      <c r="H30" s="14"/>
      <c r="I30" s="115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IF($G$14=1,O30,IF($G$14=2,P30,Q30))-$H$20*IF(N30&lt;65,0,1)*IF(N30&gt;$D$17-1,0,1)+T30</f>
        <v>0</v>
      </c>
      <c r="S30" s="83">
        <f t="shared" si="4"/>
        <v>0</v>
      </c>
      <c r="T30" s="83">
        <f>IF($G$14=2,0.5*$E$16*IF(N30&lt;66,0,1)*IF(N30&gt;69,0,1),0)*IF($E$16&gt;0.5*$D$16,1,0)*IF('Case 1 Income'!$C$9=1,0,1)</f>
        <v>0</v>
      </c>
      <c r="U30" s="85">
        <f t="shared" si="5"/>
        <v>58</v>
      </c>
      <c r="V30" s="83">
        <f t="shared" si="6"/>
        <v>0</v>
      </c>
      <c r="W30" s="86">
        <f aca="true" t="shared" si="16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>(IF(AC30&gt;AD30,AC30,AD30)-$H$20*IF(U30&lt;65,0,1)*IF(U30&gt;$E$17-1,0,1))*IF('Case 1 Income'!$C$9=1,0,1)</f>
        <v>0</v>
      </c>
      <c r="AF30">
        <f t="shared" si="14"/>
        <v>0</v>
      </c>
      <c r="AG30" s="4">
        <f aca="true" t="shared" si="17" ref="AG30:AG61">AG29+1</f>
        <v>51</v>
      </c>
      <c r="AH30" s="5">
        <v>0</v>
      </c>
      <c r="AI30" s="5">
        <v>0</v>
      </c>
      <c r="AJ30" s="151">
        <v>1.32</v>
      </c>
    </row>
    <row r="31" spans="5:36" ht="14.25">
      <c r="E31" s="118"/>
      <c r="H31" s="14"/>
      <c r="I31" s="115"/>
      <c r="N31" s="33">
        <f t="shared" si="0"/>
        <v>62</v>
      </c>
      <c r="O31" s="83">
        <f t="shared" si="1"/>
        <v>0</v>
      </c>
      <c r="P31" s="83">
        <f t="shared" si="2"/>
        <v>0</v>
      </c>
      <c r="Q31" s="132">
        <f t="shared" si="3"/>
        <v>0</v>
      </c>
      <c r="R31" s="84">
        <f t="shared" si="15"/>
        <v>0</v>
      </c>
      <c r="S31" s="83">
        <f t="shared" si="4"/>
        <v>0</v>
      </c>
      <c r="T31" s="83">
        <f>IF($G$14=2,0.5*$E$16*IF(N31&lt;66,0,1)*IF(N31&gt;69,0,1),0)*IF($E$16&gt;0.5*$D$16,1,0)*IF('Case 1 Income'!$C$9=1,0,1)</f>
        <v>0</v>
      </c>
      <c r="U31" s="85">
        <f t="shared" si="5"/>
        <v>59</v>
      </c>
      <c r="V31" s="83">
        <f t="shared" si="6"/>
        <v>0</v>
      </c>
      <c r="W31" s="86">
        <f t="shared" si="16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>(IF(AC31&gt;AD31,AC31,AD31)-$H$20*IF(U31&lt;65,0,1)*IF(U31&gt;$E$17-1,0,1))*IF('Case 1 Income'!$C$9=1,0,1)</f>
        <v>0</v>
      </c>
      <c r="AF31">
        <f t="shared" si="14"/>
        <v>0</v>
      </c>
      <c r="AG31" s="4">
        <f t="shared" si="17"/>
        <v>52</v>
      </c>
      <c r="AH31" s="5">
        <v>0</v>
      </c>
      <c r="AI31" s="5">
        <v>0</v>
      </c>
      <c r="AJ31" s="151">
        <v>1.32</v>
      </c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0</v>
      </c>
      <c r="P32" s="132">
        <f t="shared" si="2"/>
        <v>0</v>
      </c>
      <c r="Q32" s="132">
        <f t="shared" si="3"/>
        <v>0</v>
      </c>
      <c r="R32" s="154">
        <f t="shared" si="15"/>
        <v>0</v>
      </c>
      <c r="S32" s="132">
        <f t="shared" si="4"/>
        <v>0</v>
      </c>
      <c r="T32" s="132">
        <f>IF($G$14=2,0.5*$E$16*IF(N32&lt;66,0,1)*IF(N32&gt;69,0,1),0)*IF($E$16&gt;0.5*$D$16,1,0)*IF('Case 1 Income'!$C$9=1,0,1)</f>
        <v>0</v>
      </c>
      <c r="U32" s="155">
        <f t="shared" si="5"/>
        <v>60</v>
      </c>
      <c r="V32" s="132">
        <f t="shared" si="6"/>
        <v>0</v>
      </c>
      <c r="W32" s="156">
        <f t="shared" si="16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>(IF(AC32&gt;AD32,AC32,AD32)-$H$20*IF(U32&lt;65,0,1)*IF(U32&gt;$E$17-1,0,1))*IF('Case 1 Income'!$C$9=1,0,1)</f>
        <v>0</v>
      </c>
      <c r="AF32" s="11">
        <f t="shared" si="14"/>
        <v>0</v>
      </c>
      <c r="AG32" s="33">
        <f t="shared" si="17"/>
        <v>53</v>
      </c>
      <c r="AH32" s="114">
        <v>0</v>
      </c>
      <c r="AI32" s="114">
        <v>0</v>
      </c>
      <c r="AJ32" s="157">
        <v>1.32</v>
      </c>
      <c r="AK32" s="11" t="s">
        <v>30</v>
      </c>
    </row>
    <row r="33" spans="14:37" ht="14.25">
      <c r="N33" s="33">
        <f t="shared" si="0"/>
        <v>64</v>
      </c>
      <c r="O33" s="83">
        <f t="shared" si="1"/>
        <v>0</v>
      </c>
      <c r="P33" s="83">
        <f t="shared" si="2"/>
        <v>0</v>
      </c>
      <c r="Q33" s="132">
        <f t="shared" si="3"/>
        <v>0</v>
      </c>
      <c r="R33" s="84">
        <f t="shared" si="15"/>
        <v>0</v>
      </c>
      <c r="S33" s="83">
        <f t="shared" si="4"/>
        <v>0</v>
      </c>
      <c r="T33" s="83">
        <f>IF($G$14=2,0.5*$E$16*IF(N33&lt;66,0,1)*IF(N33&gt;69,0,1),0)*IF($E$16&gt;0.5*$D$16,1,0)*IF('Case 1 Income'!$C$9=1,0,1)</f>
        <v>0</v>
      </c>
      <c r="U33" s="85">
        <f t="shared" si="5"/>
        <v>61</v>
      </c>
      <c r="V33" s="83">
        <f t="shared" si="6"/>
        <v>0</v>
      </c>
      <c r="W33" s="86">
        <f t="shared" si="16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>(IF(AC33&gt;AD33,AC33,AD33)-$H$20*IF(U33&lt;65,0,1)*IF(U33&gt;$E$17-1,0,1))*IF('Case 1 Income'!$C$9=1,0,1)</f>
        <v>0</v>
      </c>
      <c r="AF33">
        <f t="shared" si="14"/>
        <v>0</v>
      </c>
      <c r="AG33" s="4">
        <f t="shared" si="17"/>
        <v>54</v>
      </c>
      <c r="AH33" s="5">
        <v>0</v>
      </c>
      <c r="AI33" s="5">
        <v>0</v>
      </c>
      <c r="AJ33" s="151">
        <v>1.32</v>
      </c>
      <c r="AK33" s="26"/>
    </row>
    <row r="34" spans="10:37" ht="14.25">
      <c r="J34" s="11"/>
      <c r="L34" s="11"/>
      <c r="M34" s="11"/>
      <c r="N34" s="33">
        <f t="shared" si="0"/>
        <v>65</v>
      </c>
      <c r="O34" s="83">
        <f t="shared" si="1"/>
        <v>0</v>
      </c>
      <c r="P34" s="83">
        <f t="shared" si="2"/>
        <v>0</v>
      </c>
      <c r="Q34" s="132">
        <f t="shared" si="3"/>
        <v>0</v>
      </c>
      <c r="R34" s="84">
        <f t="shared" si="15"/>
        <v>0</v>
      </c>
      <c r="S34" s="83">
        <f t="shared" si="4"/>
        <v>0</v>
      </c>
      <c r="T34" s="83">
        <f>IF($G$14=2,0.5*$E$16*IF(N34&lt;66,0,1)*IF(N34&gt;69,0,1),0)*IF($E$16&gt;0.5*$D$16,1,0)*IF('Case 1 Income'!$C$9=1,0,1)</f>
        <v>0</v>
      </c>
      <c r="U34" s="85">
        <f t="shared" si="5"/>
        <v>62</v>
      </c>
      <c r="V34" s="83">
        <f t="shared" si="6"/>
        <v>0</v>
      </c>
      <c r="W34" s="86">
        <f t="shared" si="16"/>
        <v>0</v>
      </c>
      <c r="X34" s="86">
        <f t="shared" si="7"/>
        <v>0</v>
      </c>
      <c r="Y34" s="86">
        <f t="shared" si="8"/>
        <v>0</v>
      </c>
      <c r="Z34" s="86">
        <f t="shared" si="9"/>
        <v>0</v>
      </c>
      <c r="AA34" s="86">
        <f t="shared" si="10"/>
        <v>0</v>
      </c>
      <c r="AB34" s="86">
        <f t="shared" si="11"/>
        <v>0</v>
      </c>
      <c r="AC34" s="83">
        <f t="shared" si="12"/>
        <v>0</v>
      </c>
      <c r="AD34" s="83">
        <f t="shared" si="13"/>
        <v>0</v>
      </c>
      <c r="AE34" s="84">
        <f>(IF(AC34&gt;AD34,AC34,AD34)-$H$20*IF(U34&lt;65,0,1)*IF(U34&gt;$E$17-1,0,1))*IF('Case 1 Income'!$C$9=1,0,1)</f>
        <v>0</v>
      </c>
      <c r="AF34">
        <f t="shared" si="14"/>
        <v>0</v>
      </c>
      <c r="AG34" s="4">
        <f t="shared" si="17"/>
        <v>55</v>
      </c>
      <c r="AH34" s="5">
        <v>0</v>
      </c>
      <c r="AI34" s="5">
        <v>0</v>
      </c>
      <c r="AJ34" s="151">
        <v>1.32</v>
      </c>
      <c r="AK34" s="26"/>
    </row>
    <row r="35" spans="14:37" ht="14.25">
      <c r="N35" s="33">
        <f t="shared" si="0"/>
        <v>66</v>
      </c>
      <c r="O35" s="83">
        <f t="shared" si="1"/>
        <v>0</v>
      </c>
      <c r="P35" s="83">
        <f t="shared" si="2"/>
        <v>0</v>
      </c>
      <c r="Q35" s="132">
        <f t="shared" si="3"/>
        <v>0</v>
      </c>
      <c r="R35" s="84">
        <f t="shared" si="15"/>
        <v>0</v>
      </c>
      <c r="S35" s="83">
        <f t="shared" si="4"/>
        <v>0</v>
      </c>
      <c r="T35" s="83">
        <f>IF($G$14=2,0.5*$E$16*IF(N35&lt;66,0,1)*IF(N35&gt;69,0,1),0)*IF($E$16&gt;0.5*$D$16,1,0)*IF('Case 1 Income'!$C$9=1,0,1)</f>
        <v>0</v>
      </c>
      <c r="U35" s="85">
        <f t="shared" si="5"/>
        <v>63</v>
      </c>
      <c r="V35" s="83">
        <f t="shared" si="6"/>
        <v>0</v>
      </c>
      <c r="W35" s="86">
        <f t="shared" si="16"/>
        <v>0</v>
      </c>
      <c r="X35" s="86">
        <f t="shared" si="7"/>
        <v>0</v>
      </c>
      <c r="Y35" s="86">
        <f t="shared" si="8"/>
        <v>0</v>
      </c>
      <c r="Z35" s="86">
        <f t="shared" si="9"/>
        <v>0</v>
      </c>
      <c r="AA35" s="86">
        <f t="shared" si="10"/>
        <v>0</v>
      </c>
      <c r="AB35" s="86">
        <f t="shared" si="11"/>
        <v>0</v>
      </c>
      <c r="AC35" s="83">
        <f t="shared" si="12"/>
        <v>0</v>
      </c>
      <c r="AD35" s="83">
        <f t="shared" si="13"/>
        <v>0</v>
      </c>
      <c r="AE35" s="84">
        <f>(IF(AC35&gt;AD35,AC35,AD35)-$H$20*IF(U35&lt;65,0,1)*IF(U35&gt;$E$17-1,0,1))*IF('Case 1 Income'!$C$9=1,0,1)</f>
        <v>0</v>
      </c>
      <c r="AF35">
        <f t="shared" si="14"/>
        <v>0</v>
      </c>
      <c r="AG35" s="4">
        <f t="shared" si="17"/>
        <v>56</v>
      </c>
      <c r="AH35" s="5">
        <v>0</v>
      </c>
      <c r="AI35" s="5">
        <v>0</v>
      </c>
      <c r="AJ35" s="151">
        <v>1.32</v>
      </c>
      <c r="AK35" s="26"/>
    </row>
    <row r="36" spans="14:37" ht="14.25">
      <c r="N36" s="33">
        <f t="shared" si="0"/>
        <v>67</v>
      </c>
      <c r="O36" s="83">
        <f t="shared" si="1"/>
        <v>0</v>
      </c>
      <c r="P36" s="83">
        <f t="shared" si="2"/>
        <v>0</v>
      </c>
      <c r="Q36" s="132">
        <f t="shared" si="3"/>
        <v>0</v>
      </c>
      <c r="R36" s="84">
        <f t="shared" si="15"/>
        <v>0</v>
      </c>
      <c r="S36" s="83">
        <f t="shared" si="4"/>
        <v>0</v>
      </c>
      <c r="T36" s="83">
        <f>IF($G$14=2,0.5*$E$16*IF(N36&lt;66,0,1)*IF(N36&gt;69,0,1),0)*IF($E$16&gt;0.5*$D$16,1,0)*IF('Case 1 Income'!$C$9=1,0,1)</f>
        <v>0</v>
      </c>
      <c r="U36" s="85">
        <f t="shared" si="5"/>
        <v>64</v>
      </c>
      <c r="V36" s="83">
        <f t="shared" si="6"/>
        <v>0</v>
      </c>
      <c r="W36" s="86">
        <f t="shared" si="16"/>
        <v>0</v>
      </c>
      <c r="X36" s="86">
        <f t="shared" si="7"/>
        <v>0</v>
      </c>
      <c r="Y36" s="86">
        <f t="shared" si="8"/>
        <v>0</v>
      </c>
      <c r="Z36" s="86">
        <f t="shared" si="9"/>
        <v>0</v>
      </c>
      <c r="AA36" s="86">
        <f t="shared" si="10"/>
        <v>0</v>
      </c>
      <c r="AB36" s="86">
        <f t="shared" si="11"/>
        <v>0</v>
      </c>
      <c r="AC36" s="83">
        <f t="shared" si="12"/>
        <v>0</v>
      </c>
      <c r="AD36" s="83">
        <f t="shared" si="13"/>
        <v>0</v>
      </c>
      <c r="AE36" s="84">
        <f>(IF(AC36&gt;AD36,AC36,AD36)-$H$20*IF(U36&lt;65,0,1)*IF(U36&gt;$E$17-1,0,1))*IF('Case 1 Income'!$C$9=1,0,1)</f>
        <v>0</v>
      </c>
      <c r="AF36">
        <f t="shared" si="14"/>
        <v>0</v>
      </c>
      <c r="AG36" s="4">
        <f t="shared" si="17"/>
        <v>57</v>
      </c>
      <c r="AH36" s="5">
        <v>0</v>
      </c>
      <c r="AI36" s="5">
        <v>0</v>
      </c>
      <c r="AJ36" s="151">
        <v>1.32</v>
      </c>
      <c r="AK36" s="26"/>
    </row>
    <row r="37" spans="14:37" ht="14.25">
      <c r="N37" s="33">
        <f t="shared" si="0"/>
        <v>68</v>
      </c>
      <c r="O37" s="83">
        <f t="shared" si="1"/>
        <v>2842</v>
      </c>
      <c r="P37" s="83">
        <f t="shared" si="2"/>
        <v>0</v>
      </c>
      <c r="Q37" s="132">
        <f t="shared" si="3"/>
        <v>0</v>
      </c>
      <c r="R37" s="84">
        <f t="shared" si="15"/>
        <v>0</v>
      </c>
      <c r="S37" s="83">
        <f t="shared" si="4"/>
        <v>0</v>
      </c>
      <c r="T37" s="83">
        <f>IF($G$14=2,0.5*$E$16*IF(N37&lt;66,0,1)*IF(N37&gt;69,0,1),0)*IF($E$16&gt;0.5*$D$16,1,0)*IF('Case 1 Income'!$C$9=1,0,1)</f>
        <v>0</v>
      </c>
      <c r="U37" s="85">
        <f t="shared" si="5"/>
        <v>65</v>
      </c>
      <c r="V37" s="83">
        <f t="shared" si="6"/>
        <v>0</v>
      </c>
      <c r="W37" s="86">
        <f t="shared" si="16"/>
        <v>0</v>
      </c>
      <c r="X37" s="86">
        <f t="shared" si="7"/>
        <v>0</v>
      </c>
      <c r="Y37" s="86">
        <f t="shared" si="8"/>
        <v>0</v>
      </c>
      <c r="Z37" s="86">
        <f t="shared" si="9"/>
        <v>0</v>
      </c>
      <c r="AA37" s="86">
        <f t="shared" si="10"/>
        <v>0</v>
      </c>
      <c r="AB37" s="86">
        <f t="shared" si="11"/>
        <v>0</v>
      </c>
      <c r="AC37" s="83">
        <f t="shared" si="12"/>
        <v>0</v>
      </c>
      <c r="AD37" s="83">
        <f t="shared" si="13"/>
        <v>0</v>
      </c>
      <c r="AE37" s="84">
        <f>(IF(AC37&gt;AD37,AC37,AD37)-$H$20*IF(U37&lt;65,0,1)*IF(U37&gt;$E$17-1,0,1))*IF('Case 1 Income'!$C$9=1,0,1)</f>
        <v>0</v>
      </c>
      <c r="AF37">
        <f t="shared" si="14"/>
        <v>0</v>
      </c>
      <c r="AG37" s="4">
        <f t="shared" si="17"/>
        <v>58</v>
      </c>
      <c r="AH37" s="5">
        <v>0</v>
      </c>
      <c r="AI37" s="5">
        <v>0</v>
      </c>
      <c r="AJ37" s="151">
        <v>1.32</v>
      </c>
      <c r="AK37" s="26"/>
    </row>
    <row r="38" spans="14:37" ht="14.25">
      <c r="N38" s="33">
        <f t="shared" si="0"/>
        <v>69</v>
      </c>
      <c r="O38" s="83">
        <f t="shared" si="1"/>
        <v>2842</v>
      </c>
      <c r="P38" s="83">
        <f t="shared" si="2"/>
        <v>0</v>
      </c>
      <c r="Q38" s="132">
        <f t="shared" si="3"/>
        <v>0</v>
      </c>
      <c r="R38" s="84">
        <f t="shared" si="15"/>
        <v>0</v>
      </c>
      <c r="S38" s="83">
        <f t="shared" si="4"/>
        <v>0</v>
      </c>
      <c r="T38" s="83">
        <f>IF($G$14=2,0.5*$E$16*IF(N38&lt;66,0,1)*IF(N38&gt;69,0,1),0)*IF($E$16&gt;0.5*$D$16,1,0)*IF('Case 1 Income'!$C$9=1,0,1)</f>
        <v>0</v>
      </c>
      <c r="U38" s="85">
        <f t="shared" si="5"/>
        <v>66</v>
      </c>
      <c r="V38" s="83">
        <f t="shared" si="6"/>
        <v>800</v>
      </c>
      <c r="W38" s="86">
        <f t="shared" si="16"/>
        <v>1225</v>
      </c>
      <c r="X38" s="86">
        <f t="shared" si="7"/>
        <v>1225</v>
      </c>
      <c r="Y38" s="86">
        <f t="shared" si="8"/>
        <v>1225</v>
      </c>
      <c r="Z38" s="86">
        <f t="shared" si="9"/>
        <v>1225</v>
      </c>
      <c r="AA38" s="86">
        <f t="shared" si="10"/>
        <v>1225</v>
      </c>
      <c r="AB38" s="86">
        <f t="shared" si="11"/>
        <v>1225</v>
      </c>
      <c r="AC38" s="83">
        <f t="shared" si="12"/>
        <v>1225</v>
      </c>
      <c r="AD38" s="83">
        <f t="shared" si="13"/>
        <v>0</v>
      </c>
      <c r="AE38" s="84">
        <f>(IF(AC38&gt;AD38,AC38,AD38)-$H$20*IF(U38&lt;65,0,1)*IF(U38&gt;$E$17-1,0,1))*IF('Case 1 Income'!$C$9=1,0,1)</f>
        <v>1225</v>
      </c>
      <c r="AF38">
        <f t="shared" si="14"/>
        <v>1225</v>
      </c>
      <c r="AG38" s="4">
        <f t="shared" si="17"/>
        <v>59</v>
      </c>
      <c r="AH38" s="5">
        <v>0</v>
      </c>
      <c r="AI38" s="5">
        <v>0</v>
      </c>
      <c r="AJ38" s="151">
        <v>1.32</v>
      </c>
      <c r="AK38" s="26"/>
    </row>
    <row r="39" spans="14:37" ht="14.25">
      <c r="N39" s="33">
        <f t="shared" si="0"/>
        <v>70</v>
      </c>
      <c r="O39" s="83">
        <f t="shared" si="1"/>
        <v>2842</v>
      </c>
      <c r="P39" s="83">
        <f t="shared" si="2"/>
        <v>3234</v>
      </c>
      <c r="Q39" s="132">
        <f t="shared" si="3"/>
        <v>3234</v>
      </c>
      <c r="R39" s="84">
        <f t="shared" si="15"/>
        <v>3234</v>
      </c>
      <c r="S39" s="83">
        <f t="shared" si="4"/>
        <v>0</v>
      </c>
      <c r="T39" s="83">
        <f>IF($G$14=2,0.5*$E$16*IF(N39&lt;66,0,1)*IF(N39&gt;69,0,1),0)*IF($E$16&gt;0.5*$D$16,1,0)*IF('Case 1 Income'!$C$9=1,0,1)</f>
        <v>0</v>
      </c>
      <c r="U39" s="85">
        <f t="shared" si="5"/>
        <v>67</v>
      </c>
      <c r="V39" s="83">
        <f t="shared" si="6"/>
        <v>800</v>
      </c>
      <c r="W39" s="86">
        <f t="shared" si="16"/>
        <v>1225</v>
      </c>
      <c r="X39" s="86">
        <f t="shared" si="7"/>
        <v>1225</v>
      </c>
      <c r="Y39" s="86">
        <f t="shared" si="8"/>
        <v>1225</v>
      </c>
      <c r="Z39" s="86">
        <f t="shared" si="9"/>
        <v>1225</v>
      </c>
      <c r="AA39" s="86">
        <f t="shared" si="10"/>
        <v>1225</v>
      </c>
      <c r="AB39" s="86">
        <f t="shared" si="11"/>
        <v>1225</v>
      </c>
      <c r="AC39" s="83">
        <f t="shared" si="12"/>
        <v>1225</v>
      </c>
      <c r="AD39" s="83">
        <f t="shared" si="13"/>
        <v>0</v>
      </c>
      <c r="AE39" s="84">
        <f>(IF(AC39&gt;AD39,AC39,AD39)-$H$20*IF(U39&lt;65,0,1)*IF(U39&gt;$E$17-1,0,1))*IF('Case 1 Income'!$C$9=1,0,1)</f>
        <v>1225</v>
      </c>
      <c r="AF39">
        <f t="shared" si="14"/>
        <v>1225</v>
      </c>
      <c r="AG39" s="4">
        <f t="shared" si="17"/>
        <v>60</v>
      </c>
      <c r="AH39" s="5">
        <v>0</v>
      </c>
      <c r="AI39" s="5">
        <v>0</v>
      </c>
      <c r="AJ39" s="151">
        <v>1.32</v>
      </c>
      <c r="AK39" s="26"/>
    </row>
    <row r="40" spans="14:37" ht="14.25">
      <c r="N40" s="33">
        <f t="shared" si="0"/>
        <v>71</v>
      </c>
      <c r="O40" s="83">
        <f t="shared" si="1"/>
        <v>2842</v>
      </c>
      <c r="P40" s="83">
        <f t="shared" si="2"/>
        <v>3234</v>
      </c>
      <c r="Q40" s="132">
        <f t="shared" si="3"/>
        <v>3234</v>
      </c>
      <c r="R40" s="84">
        <f t="shared" si="15"/>
        <v>3234</v>
      </c>
      <c r="S40" s="83">
        <f t="shared" si="4"/>
        <v>0</v>
      </c>
      <c r="T40" s="83">
        <f>IF($G$14=2,0.5*$E$16*IF(N40&lt;66,0,1)*IF(N40&gt;69,0,1),0)*IF($E$16&gt;0.5*$D$16,1,0)*IF('Case 1 Income'!$C$9=1,0,1)</f>
        <v>0</v>
      </c>
      <c r="U40" s="85">
        <f t="shared" si="5"/>
        <v>68</v>
      </c>
      <c r="V40" s="83">
        <f t="shared" si="6"/>
        <v>800</v>
      </c>
      <c r="W40" s="86">
        <f t="shared" si="16"/>
        <v>1225</v>
      </c>
      <c r="X40" s="86">
        <f t="shared" si="7"/>
        <v>1225</v>
      </c>
      <c r="Y40" s="86">
        <f t="shared" si="8"/>
        <v>1225</v>
      </c>
      <c r="Z40" s="86">
        <f t="shared" si="9"/>
        <v>1225</v>
      </c>
      <c r="AA40" s="86">
        <f t="shared" si="10"/>
        <v>1225</v>
      </c>
      <c r="AB40" s="86">
        <f t="shared" si="11"/>
        <v>1225</v>
      </c>
      <c r="AC40" s="83">
        <f t="shared" si="12"/>
        <v>1225</v>
      </c>
      <c r="AD40" s="83">
        <f t="shared" si="13"/>
        <v>0</v>
      </c>
      <c r="AE40" s="84">
        <f>(IF(AC40&gt;AD40,AC40,AD40)-$H$20*IF(U40&lt;65,0,1)*IF(U40&gt;$E$17-1,0,1))*IF('Case 1 Income'!$C$9=1,0,1)</f>
        <v>1225</v>
      </c>
      <c r="AF40">
        <f t="shared" si="14"/>
        <v>1225</v>
      </c>
      <c r="AG40" s="4">
        <f t="shared" si="17"/>
        <v>61</v>
      </c>
      <c r="AH40" s="5">
        <v>0</v>
      </c>
      <c r="AI40" s="5">
        <v>0</v>
      </c>
      <c r="AJ40" s="151">
        <v>1.32</v>
      </c>
      <c r="AK40" s="26"/>
    </row>
    <row r="41" spans="14:37" ht="14.25">
      <c r="N41" s="33">
        <f t="shared" si="0"/>
        <v>72</v>
      </c>
      <c r="O41" s="83">
        <f t="shared" si="1"/>
        <v>2842</v>
      </c>
      <c r="P41" s="83">
        <f t="shared" si="2"/>
        <v>3234</v>
      </c>
      <c r="Q41" s="132">
        <f t="shared" si="3"/>
        <v>3234</v>
      </c>
      <c r="R41" s="84">
        <f t="shared" si="15"/>
        <v>3234</v>
      </c>
      <c r="S41" s="83">
        <f t="shared" si="4"/>
        <v>0</v>
      </c>
      <c r="T41" s="83">
        <f>IF($G$14=2,0.5*$E$16*IF(N41&lt;66,0,1)*IF(N41&gt;69,0,1),0)*IF($E$16&gt;0.5*$D$16,1,0)*IF('Case 1 Income'!$C$9=1,0,1)</f>
        <v>0</v>
      </c>
      <c r="U41" s="85">
        <f t="shared" si="5"/>
        <v>69</v>
      </c>
      <c r="V41" s="83">
        <f t="shared" si="6"/>
        <v>800</v>
      </c>
      <c r="W41" s="86">
        <f t="shared" si="16"/>
        <v>1225</v>
      </c>
      <c r="X41" s="86">
        <f t="shared" si="7"/>
        <v>1225</v>
      </c>
      <c r="Y41" s="86">
        <f t="shared" si="8"/>
        <v>1225</v>
      </c>
      <c r="Z41" s="86">
        <f t="shared" si="9"/>
        <v>1225</v>
      </c>
      <c r="AA41" s="86">
        <f t="shared" si="10"/>
        <v>1225</v>
      </c>
      <c r="AB41" s="86">
        <f t="shared" si="11"/>
        <v>1225</v>
      </c>
      <c r="AC41" s="83">
        <f t="shared" si="12"/>
        <v>1225</v>
      </c>
      <c r="AD41" s="83">
        <f t="shared" si="13"/>
        <v>0</v>
      </c>
      <c r="AE41" s="84">
        <f>(IF(AC41&gt;AD41,AC41,AD41)-$H$20*IF(U41&lt;65,0,1)*IF(U41&gt;$E$17-1,0,1))*IF('Case 1 Income'!$C$9=1,0,1)</f>
        <v>1225</v>
      </c>
      <c r="AF41">
        <f t="shared" si="14"/>
        <v>1225</v>
      </c>
      <c r="AG41" s="4">
        <f t="shared" si="17"/>
        <v>62</v>
      </c>
      <c r="AH41" s="5">
        <v>0.75</v>
      </c>
      <c r="AI41" s="5">
        <v>0.325</v>
      </c>
      <c r="AJ41" s="151">
        <v>1.32</v>
      </c>
      <c r="AK41" s="26"/>
    </row>
    <row r="42" spans="14:37" ht="14.25">
      <c r="N42" s="33">
        <f t="shared" si="0"/>
        <v>73</v>
      </c>
      <c r="O42" s="83">
        <f t="shared" si="1"/>
        <v>2842</v>
      </c>
      <c r="P42" s="83">
        <f t="shared" si="2"/>
        <v>3234</v>
      </c>
      <c r="Q42" s="132">
        <f t="shared" si="3"/>
        <v>3234</v>
      </c>
      <c r="R42" s="84">
        <f t="shared" si="15"/>
        <v>3234</v>
      </c>
      <c r="S42" s="83">
        <f t="shared" si="4"/>
        <v>0</v>
      </c>
      <c r="T42" s="83">
        <f>IF($G$14=2,0.5*$E$16*IF(N42&lt;66,0,1)*IF(N42&gt;69,0,1),0)*IF($E$16&gt;0.5*$D$16,1,0)*IF('Case 1 Income'!$C$9=1,0,1)</f>
        <v>0</v>
      </c>
      <c r="U42" s="85">
        <f t="shared" si="5"/>
        <v>70</v>
      </c>
      <c r="V42" s="83">
        <f t="shared" si="6"/>
        <v>800</v>
      </c>
      <c r="W42" s="86">
        <f t="shared" si="16"/>
        <v>1225</v>
      </c>
      <c r="X42" s="86">
        <f t="shared" si="7"/>
        <v>1225</v>
      </c>
      <c r="Y42" s="86">
        <f t="shared" si="8"/>
        <v>1225</v>
      </c>
      <c r="Z42" s="86">
        <f t="shared" si="9"/>
        <v>1225</v>
      </c>
      <c r="AA42" s="86">
        <f t="shared" si="10"/>
        <v>1225</v>
      </c>
      <c r="AB42" s="86">
        <f t="shared" si="11"/>
        <v>1225</v>
      </c>
      <c r="AC42" s="83">
        <f t="shared" si="12"/>
        <v>1225</v>
      </c>
      <c r="AD42" s="83">
        <f t="shared" si="13"/>
        <v>0</v>
      </c>
      <c r="AE42" s="84">
        <f>(IF(AC42&gt;AD42,AC42,AD42)-$H$20*IF(U42&lt;65,0,1)*IF(U42&gt;$E$17-1,0,1))*IF('Case 1 Income'!$C$9=1,0,1)</f>
        <v>1225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151">
        <v>1.32</v>
      </c>
      <c r="AK42" s="26"/>
    </row>
    <row r="43" spans="14:37" ht="14.25">
      <c r="N43" s="33">
        <f t="shared" si="0"/>
        <v>74</v>
      </c>
      <c r="O43" s="83">
        <f t="shared" si="1"/>
        <v>2842</v>
      </c>
      <c r="P43" s="83">
        <f t="shared" si="2"/>
        <v>3234</v>
      </c>
      <c r="Q43" s="132">
        <f t="shared" si="3"/>
        <v>3234</v>
      </c>
      <c r="R43" s="84">
        <f t="shared" si="15"/>
        <v>3234</v>
      </c>
      <c r="S43" s="83">
        <f t="shared" si="4"/>
        <v>0</v>
      </c>
      <c r="T43" s="83">
        <f>IF($G$14=2,0.5*$E$16*IF(N43&lt;66,0,1)*IF(N43&gt;69,0,1),0)*IF($E$16&gt;0.5*$D$16,1,0)*IF('Case 1 Income'!$C$9=1,0,1)</f>
        <v>0</v>
      </c>
      <c r="U43" s="85">
        <f t="shared" si="5"/>
        <v>71</v>
      </c>
      <c r="V43" s="83">
        <f t="shared" si="6"/>
        <v>800</v>
      </c>
      <c r="W43" s="86">
        <f t="shared" si="16"/>
        <v>1225</v>
      </c>
      <c r="X43" s="86">
        <f t="shared" si="7"/>
        <v>1225</v>
      </c>
      <c r="Y43" s="86">
        <f t="shared" si="8"/>
        <v>1225</v>
      </c>
      <c r="Z43" s="86">
        <f t="shared" si="9"/>
        <v>1225</v>
      </c>
      <c r="AA43" s="86">
        <f t="shared" si="10"/>
        <v>1225</v>
      </c>
      <c r="AB43" s="86">
        <f t="shared" si="11"/>
        <v>1225</v>
      </c>
      <c r="AC43" s="83">
        <f t="shared" si="12"/>
        <v>1225</v>
      </c>
      <c r="AD43" s="83">
        <f t="shared" si="13"/>
        <v>0</v>
      </c>
      <c r="AE43" s="84">
        <f>(IF(AC43&gt;AD43,AC43,AD43)-$H$20*IF(U43&lt;65,0,1)*IF(U43&gt;$E$17-1,0,1))*IF('Case 1 Income'!$C$9=1,0,1)</f>
        <v>1225</v>
      </c>
      <c r="AF43">
        <f t="shared" si="14"/>
        <v>0</v>
      </c>
      <c r="AG43" s="4">
        <f>AG42+1</f>
        <v>64</v>
      </c>
      <c r="AH43" s="5">
        <v>0.875</v>
      </c>
      <c r="AI43" s="5">
        <v>0.4125</v>
      </c>
      <c r="AJ43" s="151">
        <v>1.32</v>
      </c>
      <c r="AK43" s="26"/>
    </row>
    <row r="44" spans="14:37" ht="14.25">
      <c r="N44" s="33">
        <f t="shared" si="0"/>
        <v>75</v>
      </c>
      <c r="O44" s="83">
        <f t="shared" si="1"/>
        <v>2842</v>
      </c>
      <c r="P44" s="83">
        <f t="shared" si="2"/>
        <v>3234</v>
      </c>
      <c r="Q44" s="132">
        <f t="shared" si="3"/>
        <v>3234</v>
      </c>
      <c r="R44" s="84">
        <f t="shared" si="15"/>
        <v>3234</v>
      </c>
      <c r="S44" s="83">
        <f t="shared" si="4"/>
        <v>0</v>
      </c>
      <c r="T44" s="83">
        <f>IF($G$14=2,0.5*$E$16*IF(N44&lt;66,0,1)*IF(N44&gt;69,0,1),0)*IF($E$16&gt;0.5*$D$16,1,0)*IF('Case 1 Income'!$C$9=1,0,1)</f>
        <v>0</v>
      </c>
      <c r="U44" s="85">
        <f t="shared" si="5"/>
        <v>72</v>
      </c>
      <c r="V44" s="83">
        <f t="shared" si="6"/>
        <v>800</v>
      </c>
      <c r="W44" s="86">
        <f t="shared" si="16"/>
        <v>1225</v>
      </c>
      <c r="X44" s="86">
        <f t="shared" si="7"/>
        <v>1225</v>
      </c>
      <c r="Y44" s="86">
        <f t="shared" si="8"/>
        <v>1225</v>
      </c>
      <c r="Z44" s="86">
        <f t="shared" si="9"/>
        <v>1225</v>
      </c>
      <c r="AA44" s="86">
        <f t="shared" si="10"/>
        <v>1225</v>
      </c>
      <c r="AB44" s="86">
        <f t="shared" si="11"/>
        <v>1225</v>
      </c>
      <c r="AC44" s="83">
        <f t="shared" si="12"/>
        <v>1225</v>
      </c>
      <c r="AD44" s="83">
        <f t="shared" si="13"/>
        <v>0</v>
      </c>
      <c r="AE44" s="84">
        <f>(IF(AC44&gt;AD44,AC44,AD44)-$H$20*IF(U44&lt;65,0,1)*IF(U44&gt;$E$17-1,0,1))*IF('Case 1 Income'!$C$9=1,0,1)</f>
        <v>1225</v>
      </c>
      <c r="AF44">
        <f t="shared" si="14"/>
        <v>0</v>
      </c>
      <c r="AG44" s="4">
        <f t="shared" si="17"/>
        <v>65</v>
      </c>
      <c r="AH44" s="5">
        <v>0.9375</v>
      </c>
      <c r="AI44" s="5">
        <v>0.45625</v>
      </c>
      <c r="AJ44" s="151">
        <v>1.32</v>
      </c>
      <c r="AK44" s="26"/>
    </row>
    <row r="45" spans="14:37" ht="14.25">
      <c r="N45" s="33">
        <f t="shared" si="0"/>
        <v>76</v>
      </c>
      <c r="O45" s="83">
        <f t="shared" si="1"/>
        <v>2842</v>
      </c>
      <c r="P45" s="83">
        <f t="shared" si="2"/>
        <v>3234</v>
      </c>
      <c r="Q45" s="132">
        <f t="shared" si="3"/>
        <v>3234</v>
      </c>
      <c r="R45" s="84">
        <f t="shared" si="15"/>
        <v>3234</v>
      </c>
      <c r="S45" s="83">
        <f t="shared" si="4"/>
        <v>0</v>
      </c>
      <c r="T45" s="83">
        <f>IF($G$14=2,0.5*$E$16*IF(N45&lt;66,0,1)*IF(N45&gt;69,0,1),0)*IF($E$16&gt;0.5*$D$16,1,0)*IF('Case 1 Income'!$C$9=1,0,1)</f>
        <v>0</v>
      </c>
      <c r="U45" s="85">
        <f t="shared" si="5"/>
        <v>73</v>
      </c>
      <c r="V45" s="83">
        <f t="shared" si="6"/>
        <v>800</v>
      </c>
      <c r="W45" s="86">
        <f t="shared" si="16"/>
        <v>1225</v>
      </c>
      <c r="X45" s="86">
        <f t="shared" si="7"/>
        <v>1225</v>
      </c>
      <c r="Y45" s="86">
        <f t="shared" si="8"/>
        <v>1225</v>
      </c>
      <c r="Z45" s="86">
        <f t="shared" si="9"/>
        <v>1225</v>
      </c>
      <c r="AA45" s="86">
        <f t="shared" si="10"/>
        <v>1225</v>
      </c>
      <c r="AB45" s="86">
        <f t="shared" si="11"/>
        <v>1225</v>
      </c>
      <c r="AC45" s="83">
        <f t="shared" si="12"/>
        <v>1225</v>
      </c>
      <c r="AD45" s="83">
        <f t="shared" si="13"/>
        <v>0</v>
      </c>
      <c r="AE45" s="84">
        <f>(IF(AC45&gt;AD45,AC45,AD45)-$H$20*IF(U45&lt;65,0,1)*IF(U45&gt;$E$17-1,0,1))*IF('Case 1 Income'!$C$9=1,0,1)</f>
        <v>1225</v>
      </c>
      <c r="AF45">
        <f t="shared" si="14"/>
        <v>0</v>
      </c>
      <c r="AG45" s="4">
        <f t="shared" si="17"/>
        <v>66</v>
      </c>
      <c r="AH45" s="5">
        <v>1</v>
      </c>
      <c r="AI45" s="5">
        <v>0.5</v>
      </c>
      <c r="AJ45" s="151">
        <v>1.32</v>
      </c>
      <c r="AK45" s="26"/>
    </row>
    <row r="46" spans="2:37" ht="15" thickBot="1">
      <c r="B46" t="s">
        <v>67</v>
      </c>
      <c r="C46" s="28"/>
      <c r="D46" s="28"/>
      <c r="E46" t="s">
        <v>69</v>
      </c>
      <c r="H46" s="5"/>
      <c r="I46" s="5"/>
      <c r="J46" s="5"/>
      <c r="K46" s="114"/>
      <c r="L46" s="5"/>
      <c r="M46" s="5"/>
      <c r="N46" s="114">
        <f t="shared" si="0"/>
        <v>77</v>
      </c>
      <c r="O46" s="83">
        <f t="shared" si="1"/>
        <v>2842</v>
      </c>
      <c r="P46" s="83">
        <f t="shared" si="2"/>
        <v>3234</v>
      </c>
      <c r="Q46" s="132">
        <f t="shared" si="3"/>
        <v>3234</v>
      </c>
      <c r="R46" s="83">
        <f t="shared" si="15"/>
        <v>3234</v>
      </c>
      <c r="S46" s="83">
        <f t="shared" si="4"/>
        <v>0</v>
      </c>
      <c r="T46" s="83">
        <f>IF($G$14=2,0.5*$E$16*IF(N46&lt;66,0,1)*IF(N46&gt;69,0,1),0)*IF($E$16&gt;0.5*$D$16,1,0)*IF('Case 1 Income'!$C$9=1,0,1)</f>
        <v>0</v>
      </c>
      <c r="U46" s="83">
        <f t="shared" si="5"/>
        <v>74</v>
      </c>
      <c r="V46" s="83">
        <f t="shared" si="6"/>
        <v>800</v>
      </c>
      <c r="W46" s="86">
        <f t="shared" si="16"/>
        <v>1225</v>
      </c>
      <c r="X46" s="86">
        <f t="shared" si="7"/>
        <v>1225</v>
      </c>
      <c r="Y46" s="86">
        <f t="shared" si="8"/>
        <v>1225</v>
      </c>
      <c r="Z46" s="86">
        <f t="shared" si="9"/>
        <v>1225</v>
      </c>
      <c r="AA46" s="86">
        <f t="shared" si="10"/>
        <v>1225</v>
      </c>
      <c r="AB46" s="86">
        <f t="shared" si="11"/>
        <v>1225</v>
      </c>
      <c r="AC46" s="83">
        <f t="shared" si="12"/>
        <v>1225</v>
      </c>
      <c r="AD46" s="83">
        <f t="shared" si="13"/>
        <v>0</v>
      </c>
      <c r="AE46" s="83">
        <f>(IF(AC46&gt;AD46,AC46,AD46)-$H$20*IF(U46&lt;65,0,1)*IF(U46&gt;$E$17-1,0,1))*IF('Case 1 Income'!$C$9=1,0,1)</f>
        <v>1225</v>
      </c>
      <c r="AF46" s="5">
        <f t="shared" si="14"/>
        <v>0</v>
      </c>
      <c r="AG46" s="5">
        <f t="shared" si="17"/>
        <v>67</v>
      </c>
      <c r="AH46" s="5">
        <v>1.08</v>
      </c>
      <c r="AI46" s="5">
        <v>0.5</v>
      </c>
      <c r="AJ46" s="159">
        <v>1.24</v>
      </c>
      <c r="AK46" s="5"/>
    </row>
    <row r="47" spans="1:37" ht="14.25" hidden="1">
      <c r="A47" s="20"/>
      <c r="B47" s="18" t="s">
        <v>14</v>
      </c>
      <c r="C47" s="27" t="s">
        <v>27</v>
      </c>
      <c r="D47" s="15"/>
      <c r="E47" s="16" t="s">
        <v>28</v>
      </c>
      <c r="F47" s="17"/>
      <c r="G47" s="16" t="s">
        <v>29</v>
      </c>
      <c r="H47" s="114"/>
      <c r="I47" s="114"/>
      <c r="J47" s="114"/>
      <c r="K47" s="161" t="s">
        <v>25</v>
      </c>
      <c r="L47" s="5"/>
      <c r="M47" s="5"/>
      <c r="N47" s="114">
        <f aca="true" t="shared" si="18" ref="N47:N60">C67</f>
        <v>78</v>
      </c>
      <c r="O47" s="83">
        <f t="shared" si="1"/>
        <v>2842</v>
      </c>
      <c r="P47" s="83">
        <f t="shared" si="2"/>
        <v>3234</v>
      </c>
      <c r="Q47" s="132">
        <f t="shared" si="3"/>
        <v>3234</v>
      </c>
      <c r="R47" s="83">
        <f t="shared" si="15"/>
        <v>3234</v>
      </c>
      <c r="S47" s="83">
        <f t="shared" si="4"/>
        <v>0</v>
      </c>
      <c r="T47" s="83">
        <f>IF($G$14=2,0.5*$E$16*IF(N47&lt;66,0,1)*IF(N47&gt;69,0,1),0)*IF($E$16&gt;0.5*$D$16,1,0)*IF('Case 1 Income'!$C$9=1,0,1)</f>
        <v>0</v>
      </c>
      <c r="U47" s="83">
        <f aca="true" t="shared" si="19" ref="U47:U60">D67</f>
        <v>75</v>
      </c>
      <c r="V47" s="83">
        <f t="shared" si="6"/>
        <v>800</v>
      </c>
      <c r="W47" s="86">
        <f t="shared" si="16"/>
        <v>1225</v>
      </c>
      <c r="X47" s="86">
        <f t="shared" si="7"/>
        <v>1225</v>
      </c>
      <c r="Y47" s="86">
        <f t="shared" si="8"/>
        <v>1225</v>
      </c>
      <c r="Z47" s="86">
        <f t="shared" si="9"/>
        <v>1225</v>
      </c>
      <c r="AA47" s="86">
        <f t="shared" si="10"/>
        <v>1225</v>
      </c>
      <c r="AB47" s="86">
        <f t="shared" si="11"/>
        <v>1225</v>
      </c>
      <c r="AC47" s="83">
        <f t="shared" si="12"/>
        <v>1225</v>
      </c>
      <c r="AD47" s="83">
        <f t="shared" si="13"/>
        <v>0</v>
      </c>
      <c r="AE47" s="83">
        <f>(IF(AC47&gt;AD47,AC47,AD47)-$H$20*IF(U47&lt;65,0,1)*IF(U47&gt;$E$17-1,0,1))*IF('Case 1 Income'!$C$9=1,0,1)</f>
        <v>1225</v>
      </c>
      <c r="AF47" s="5">
        <f t="shared" si="14"/>
        <v>0</v>
      </c>
      <c r="AG47" s="5">
        <f>AG46+1</f>
        <v>68</v>
      </c>
      <c r="AH47" s="5">
        <v>1.16</v>
      </c>
      <c r="AI47" s="5">
        <v>0.5</v>
      </c>
      <c r="AJ47" s="159">
        <v>1.16</v>
      </c>
      <c r="AK47" s="5"/>
    </row>
    <row r="48" spans="1:37" ht="14.25" hidden="1">
      <c r="A48" s="20"/>
      <c r="B48" s="21">
        <f>H21</f>
        <v>0.045</v>
      </c>
      <c r="C48" s="22" t="s">
        <v>24</v>
      </c>
      <c r="D48" s="22" t="s">
        <v>23</v>
      </c>
      <c r="E48" s="22" t="s">
        <v>19</v>
      </c>
      <c r="F48" s="22" t="s">
        <v>18</v>
      </c>
      <c r="G48" s="22" t="s">
        <v>19</v>
      </c>
      <c r="H48" s="162" t="s">
        <v>43</v>
      </c>
      <c r="I48" s="162" t="s">
        <v>18</v>
      </c>
      <c r="J48" s="162" t="s">
        <v>43</v>
      </c>
      <c r="K48" s="163" t="s">
        <v>26</v>
      </c>
      <c r="L48" s="5"/>
      <c r="M48" s="5"/>
      <c r="N48" s="114">
        <f t="shared" si="18"/>
        <v>79</v>
      </c>
      <c r="O48" s="83">
        <f t="shared" si="1"/>
        <v>2842</v>
      </c>
      <c r="P48" s="83">
        <f t="shared" si="2"/>
        <v>3234</v>
      </c>
      <c r="Q48" s="132">
        <f t="shared" si="3"/>
        <v>3234</v>
      </c>
      <c r="R48" s="83">
        <f t="shared" si="15"/>
        <v>3234</v>
      </c>
      <c r="S48" s="83">
        <f t="shared" si="4"/>
        <v>0</v>
      </c>
      <c r="T48" s="83">
        <f>IF($G$14=2,0.5*$E$16*IF(N48&lt;66,0,1)*IF(N48&gt;69,0,1),0)*IF($E$16&gt;0.5*$D$16,1,0)*IF('Case 1 Income'!$C$9=1,0,1)</f>
        <v>0</v>
      </c>
      <c r="U48" s="83">
        <f t="shared" si="19"/>
        <v>76</v>
      </c>
      <c r="V48" s="83">
        <f t="shared" si="6"/>
        <v>800</v>
      </c>
      <c r="W48" s="86">
        <f t="shared" si="16"/>
        <v>1225</v>
      </c>
      <c r="X48" s="86">
        <f t="shared" si="7"/>
        <v>1225</v>
      </c>
      <c r="Y48" s="86">
        <f t="shared" si="8"/>
        <v>1225</v>
      </c>
      <c r="Z48" s="86">
        <f t="shared" si="9"/>
        <v>1225</v>
      </c>
      <c r="AA48" s="86">
        <f t="shared" si="10"/>
        <v>1225</v>
      </c>
      <c r="AB48" s="86">
        <f t="shared" si="11"/>
        <v>1225</v>
      </c>
      <c r="AC48" s="83">
        <f t="shared" si="12"/>
        <v>1225</v>
      </c>
      <c r="AD48" s="83">
        <f t="shared" si="13"/>
        <v>0</v>
      </c>
      <c r="AE48" s="83">
        <f>(IF(AC48&gt;AD48,AC48,AD48)-$H$20*IF(U48&lt;65,0,1)*IF(U48&gt;$E$17-1,0,1))*IF('Case 1 Income'!$C$9=1,0,1)</f>
        <v>1225</v>
      </c>
      <c r="AF48" s="5">
        <f t="shared" si="14"/>
        <v>0</v>
      </c>
      <c r="AG48" s="5">
        <f t="shared" si="17"/>
        <v>69</v>
      </c>
      <c r="AH48" s="5">
        <v>1.24</v>
      </c>
      <c r="AI48" s="5">
        <v>0.5</v>
      </c>
      <c r="AJ48" s="159">
        <v>1.08</v>
      </c>
      <c r="AK48" s="5"/>
    </row>
    <row r="49" spans="1:37" ht="14.25" hidden="1">
      <c r="A49" s="20"/>
      <c r="B49" s="23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0" ref="K49:K100">(E49+F49+G49+I49)*12</f>
        <v>0</v>
      </c>
      <c r="L49" s="5"/>
      <c r="M49" s="5"/>
      <c r="N49" s="114">
        <f t="shared" si="18"/>
        <v>80</v>
      </c>
      <c r="O49" s="83">
        <f t="shared" si="1"/>
        <v>2842</v>
      </c>
      <c r="P49" s="83">
        <f t="shared" si="2"/>
        <v>3234</v>
      </c>
      <c r="Q49" s="132">
        <f t="shared" si="3"/>
        <v>3234</v>
      </c>
      <c r="R49" s="83">
        <f t="shared" si="15"/>
        <v>3234</v>
      </c>
      <c r="S49" s="83">
        <f t="shared" si="4"/>
        <v>0</v>
      </c>
      <c r="T49" s="83">
        <f>IF($G$14=2,0.5*$E$16*IF(N49&lt;66,0,1)*IF(N49&gt;69,0,1),0)*IF($E$16&gt;0.5*$D$16,1,0)*IF('Case 1 Income'!$C$9=1,0,1)</f>
        <v>0</v>
      </c>
      <c r="U49" s="83">
        <f t="shared" si="19"/>
        <v>77</v>
      </c>
      <c r="V49" s="83">
        <f t="shared" si="6"/>
        <v>800</v>
      </c>
      <c r="W49" s="86">
        <f t="shared" si="16"/>
        <v>1225</v>
      </c>
      <c r="X49" s="86">
        <f t="shared" si="7"/>
        <v>1225</v>
      </c>
      <c r="Y49" s="86">
        <f t="shared" si="8"/>
        <v>1225</v>
      </c>
      <c r="Z49" s="86">
        <f t="shared" si="9"/>
        <v>1225</v>
      </c>
      <c r="AA49" s="86">
        <f t="shared" si="10"/>
        <v>1225</v>
      </c>
      <c r="AB49" s="86">
        <f t="shared" si="11"/>
        <v>1225</v>
      </c>
      <c r="AC49" s="83">
        <f t="shared" si="12"/>
        <v>1225</v>
      </c>
      <c r="AD49" s="83">
        <f t="shared" si="13"/>
        <v>3234</v>
      </c>
      <c r="AE49" s="83">
        <f>(IF(AC49&gt;AD49,AC49,AD49)-$H$20*IF(U49&lt;65,0,1)*IF(U49&gt;$E$17-1,0,1))*IF('Case 1 Income'!$C$9=1,0,1)</f>
        <v>3234</v>
      </c>
      <c r="AF49" s="5">
        <f t="shared" si="14"/>
        <v>0</v>
      </c>
      <c r="AG49" s="5">
        <f t="shared" si="17"/>
        <v>70</v>
      </c>
      <c r="AH49" s="5">
        <v>1.32</v>
      </c>
      <c r="AI49" s="5">
        <v>0.5</v>
      </c>
      <c r="AJ49" s="159">
        <v>1</v>
      </c>
      <c r="AK49" s="5"/>
    </row>
    <row r="50" spans="1:37" ht="14.25" hidden="1">
      <c r="A50" s="20"/>
      <c r="B50" s="24">
        <f aca="true" t="shared" si="21" ref="B50:B81">B49/(1+$B$48)</f>
        <v>0.9569377990430623</v>
      </c>
      <c r="C50" s="82">
        <f aca="true" t="shared" si="22" ref="C50:D65">C49+1</f>
        <v>61</v>
      </c>
      <c r="D50" s="82">
        <f t="shared" si="22"/>
        <v>58</v>
      </c>
      <c r="E50" s="79">
        <f aca="true" t="shared" si="23" ref="E50:E100">R30*IF(C50&lt;$D$17,1,0)*IF(C50&lt;$D$15,0,1)</f>
        <v>0</v>
      </c>
      <c r="F50" s="79">
        <f aca="true" t="shared" si="24" ref="F50:F100">AE30*IF(D50&lt;$E$17,1,0)*IF($C$9=1,0,1)</f>
        <v>0</v>
      </c>
      <c r="G50" s="79">
        <f aca="true" t="shared" si="25" ref="G50:G100">($D$18*IF(C50&lt;$D$20,0,1)*IF(C50&gt;$D$17-1,0,1)*IF($H$18=TRUE,1,B50)+H50*IF($C$9=1,0,1))*IF(C50&lt;$D$15,0,1)</f>
        <v>0</v>
      </c>
      <c r="H50" s="79">
        <f aca="true" t="shared" si="26" ref="H50:H100">IF(C50&gt;$D$17-1,1,0)*IF(D50&lt;$E$17,1,0)*$D$18*$D$19*IF($I$18=TRUE,1,B50)*IF($C$9=1,0,1)</f>
        <v>0</v>
      </c>
      <c r="I50" s="79">
        <f aca="true" t="shared" si="27" ref="I50:I100">(IF($C$9=1,0,1)*($E$18*IF(D50&lt;$E$20,0,1)*IF(D50&gt;$E$17-1,0,1)*IF($I$18=TRUE,1,B50)+J50))*IF(C50&lt;$D$15,0,1)</f>
        <v>0</v>
      </c>
      <c r="J50" s="79">
        <f aca="true" t="shared" si="28" ref="J50:J100">IF(D50&gt;$E$17-1,1,0)*IF(C50&lt;$D$17,1,0)*$E$18*$E$19*IF($E$18=TRUE,1,B50)*IF($C$9=1,0,1)</f>
        <v>0</v>
      </c>
      <c r="K50" s="80">
        <f t="shared" si="20"/>
        <v>0</v>
      </c>
      <c r="L50" s="5"/>
      <c r="M50" s="5"/>
      <c r="N50" s="114">
        <f t="shared" si="18"/>
        <v>81</v>
      </c>
      <c r="O50" s="83">
        <f t="shared" si="1"/>
        <v>2842</v>
      </c>
      <c r="P50" s="83">
        <f t="shared" si="2"/>
        <v>3234</v>
      </c>
      <c r="Q50" s="132">
        <f t="shared" si="3"/>
        <v>3234</v>
      </c>
      <c r="R50" s="83">
        <f t="shared" si="15"/>
        <v>3234</v>
      </c>
      <c r="S50" s="83">
        <f t="shared" si="4"/>
        <v>0</v>
      </c>
      <c r="T50" s="83">
        <f>IF($G$14=2,0.5*$E$16*IF(N50&lt;66,0,1)*IF(N50&gt;69,0,1),0)*IF($E$16&gt;0.5*$D$16,1,0)*IF('Case 1 Income'!$C$9=1,0,1)</f>
        <v>0</v>
      </c>
      <c r="U50" s="83">
        <f t="shared" si="19"/>
        <v>78</v>
      </c>
      <c r="V50" s="83">
        <f t="shared" si="6"/>
        <v>800</v>
      </c>
      <c r="W50" s="86">
        <f t="shared" si="16"/>
        <v>1225</v>
      </c>
      <c r="X50" s="86">
        <f t="shared" si="7"/>
        <v>1225</v>
      </c>
      <c r="Y50" s="86">
        <f t="shared" si="8"/>
        <v>1225</v>
      </c>
      <c r="Z50" s="86">
        <f t="shared" si="9"/>
        <v>1225</v>
      </c>
      <c r="AA50" s="86">
        <f t="shared" si="10"/>
        <v>1225</v>
      </c>
      <c r="AB50" s="86">
        <f t="shared" si="11"/>
        <v>1225</v>
      </c>
      <c r="AC50" s="83">
        <f t="shared" si="12"/>
        <v>1225</v>
      </c>
      <c r="AD50" s="83">
        <f t="shared" si="13"/>
        <v>3234</v>
      </c>
      <c r="AE50" s="83">
        <f>(IF(AC50&gt;AD50,AC50,AD50)-$H$20*IF(U50&lt;65,0,1)*IF(U50&gt;$E$17-1,0,1))*IF('Case 1 Income'!$C$9=1,0,1)</f>
        <v>3234</v>
      </c>
      <c r="AF50" s="5">
        <f t="shared" si="14"/>
        <v>0</v>
      </c>
      <c r="AG50" s="5">
        <f t="shared" si="17"/>
        <v>71</v>
      </c>
      <c r="AH50" s="5">
        <v>1.32</v>
      </c>
      <c r="AI50" s="5">
        <v>0.5</v>
      </c>
      <c r="AJ50" s="159">
        <v>1</v>
      </c>
      <c r="AK50" s="5"/>
    </row>
    <row r="51" spans="1:37" ht="14.25" hidden="1">
      <c r="A51" s="20"/>
      <c r="B51" s="24">
        <f t="shared" si="21"/>
        <v>0.9157299512373802</v>
      </c>
      <c r="C51" s="82">
        <f t="shared" si="22"/>
        <v>62</v>
      </c>
      <c r="D51" s="82">
        <f t="shared" si="22"/>
        <v>59</v>
      </c>
      <c r="E51" s="79">
        <f t="shared" si="23"/>
        <v>0</v>
      </c>
      <c r="F51" s="79">
        <f t="shared" si="24"/>
        <v>0</v>
      </c>
      <c r="G51" s="79">
        <f t="shared" si="25"/>
        <v>0</v>
      </c>
      <c r="H51" s="79">
        <f t="shared" si="26"/>
        <v>0</v>
      </c>
      <c r="I51" s="79">
        <f t="shared" si="27"/>
        <v>0</v>
      </c>
      <c r="J51" s="79">
        <f t="shared" si="28"/>
        <v>0</v>
      </c>
      <c r="K51" s="80">
        <f t="shared" si="20"/>
        <v>0</v>
      </c>
      <c r="L51" s="5"/>
      <c r="M51" s="5"/>
      <c r="N51" s="114">
        <f t="shared" si="18"/>
        <v>82</v>
      </c>
      <c r="O51" s="83">
        <f t="shared" si="1"/>
        <v>2842</v>
      </c>
      <c r="P51" s="83">
        <f t="shared" si="2"/>
        <v>3234</v>
      </c>
      <c r="Q51" s="132">
        <f t="shared" si="3"/>
        <v>3234</v>
      </c>
      <c r="R51" s="83">
        <f t="shared" si="15"/>
        <v>3234</v>
      </c>
      <c r="S51" s="83">
        <f t="shared" si="4"/>
        <v>0</v>
      </c>
      <c r="T51" s="83">
        <f>IF($G$14=2,0.5*$E$16*IF(N51&lt;66,0,1)*IF(N51&gt;69,0,1),0)*IF($E$16&gt;0.5*$D$16,1,0)*IF('Case 1 Income'!$C$9=1,0,1)</f>
        <v>0</v>
      </c>
      <c r="U51" s="83">
        <f t="shared" si="19"/>
        <v>79</v>
      </c>
      <c r="V51" s="83">
        <f t="shared" si="6"/>
        <v>800</v>
      </c>
      <c r="W51" s="86">
        <f t="shared" si="16"/>
        <v>1225</v>
      </c>
      <c r="X51" s="86">
        <f t="shared" si="7"/>
        <v>1225</v>
      </c>
      <c r="Y51" s="86">
        <f t="shared" si="8"/>
        <v>1225</v>
      </c>
      <c r="Z51" s="86">
        <f t="shared" si="9"/>
        <v>1225</v>
      </c>
      <c r="AA51" s="86">
        <f t="shared" si="10"/>
        <v>1225</v>
      </c>
      <c r="AB51" s="86">
        <f t="shared" si="11"/>
        <v>1225</v>
      </c>
      <c r="AC51" s="83">
        <f t="shared" si="12"/>
        <v>1225</v>
      </c>
      <c r="AD51" s="83">
        <f t="shared" si="13"/>
        <v>3234</v>
      </c>
      <c r="AE51" s="83">
        <f>(IF(AC51&gt;AD51,AC51,AD51)-$H$20*IF(U51&lt;65,0,1)*IF(U51&gt;$E$17-1,0,1))*IF('Case 1 Income'!$C$9=1,0,1)</f>
        <v>3234</v>
      </c>
      <c r="AF51" s="5">
        <f t="shared" si="14"/>
        <v>0</v>
      </c>
      <c r="AG51" s="5">
        <f t="shared" si="17"/>
        <v>72</v>
      </c>
      <c r="AH51" s="5">
        <v>1.32</v>
      </c>
      <c r="AI51" s="5">
        <v>0.5</v>
      </c>
      <c r="AJ51" s="159">
        <v>1</v>
      </c>
      <c r="AK51" s="5"/>
    </row>
    <row r="52" spans="1:37" ht="14.25" hidden="1">
      <c r="A52" s="20"/>
      <c r="B52" s="24">
        <f t="shared" si="21"/>
        <v>0.8762966040549094</v>
      </c>
      <c r="C52" s="82">
        <f t="shared" si="22"/>
        <v>63</v>
      </c>
      <c r="D52" s="82">
        <f t="shared" si="22"/>
        <v>60</v>
      </c>
      <c r="E52" s="79">
        <f t="shared" si="23"/>
        <v>0</v>
      </c>
      <c r="F52" s="79">
        <f t="shared" si="24"/>
        <v>0</v>
      </c>
      <c r="G52" s="79">
        <f t="shared" si="25"/>
        <v>0</v>
      </c>
      <c r="H52" s="79">
        <f t="shared" si="26"/>
        <v>0</v>
      </c>
      <c r="I52" s="79">
        <f t="shared" si="27"/>
        <v>0</v>
      </c>
      <c r="J52" s="79">
        <f t="shared" si="28"/>
        <v>0</v>
      </c>
      <c r="K52" s="80">
        <f t="shared" si="20"/>
        <v>0</v>
      </c>
      <c r="L52" s="5"/>
      <c r="M52" s="5"/>
      <c r="N52" s="114">
        <f t="shared" si="18"/>
        <v>83</v>
      </c>
      <c r="O52" s="83">
        <f t="shared" si="1"/>
        <v>2842</v>
      </c>
      <c r="P52" s="83">
        <f t="shared" si="2"/>
        <v>3234</v>
      </c>
      <c r="Q52" s="132">
        <f t="shared" si="3"/>
        <v>3234</v>
      </c>
      <c r="R52" s="83">
        <f t="shared" si="15"/>
        <v>3234</v>
      </c>
      <c r="S52" s="83">
        <f t="shared" si="4"/>
        <v>0</v>
      </c>
      <c r="T52" s="83">
        <f>IF($G$14=2,0.5*$E$16*IF(N52&lt;66,0,1)*IF(N52&gt;69,0,1),0)*IF($E$16&gt;0.5*$D$16,1,0)*IF('Case 1 Income'!$C$9=1,0,1)</f>
        <v>0</v>
      </c>
      <c r="U52" s="83">
        <f t="shared" si="19"/>
        <v>80</v>
      </c>
      <c r="V52" s="83">
        <f t="shared" si="6"/>
        <v>800</v>
      </c>
      <c r="W52" s="86">
        <f t="shared" si="16"/>
        <v>1225</v>
      </c>
      <c r="X52" s="86">
        <f t="shared" si="7"/>
        <v>1225</v>
      </c>
      <c r="Y52" s="86">
        <f t="shared" si="8"/>
        <v>1225</v>
      </c>
      <c r="Z52" s="86">
        <f t="shared" si="9"/>
        <v>1225</v>
      </c>
      <c r="AA52" s="86">
        <f t="shared" si="10"/>
        <v>1225</v>
      </c>
      <c r="AB52" s="86">
        <f t="shared" si="11"/>
        <v>1225</v>
      </c>
      <c r="AC52" s="83">
        <f t="shared" si="12"/>
        <v>1225</v>
      </c>
      <c r="AD52" s="83">
        <f t="shared" si="13"/>
        <v>3234</v>
      </c>
      <c r="AE52" s="83">
        <f>(IF(AC52&gt;AD52,AC52,AD52)-$H$20*IF(U52&lt;65,0,1)*IF(U52&gt;$E$17-1,0,1))*IF('Case 1 Income'!$C$9=1,0,1)</f>
        <v>3234</v>
      </c>
      <c r="AF52" s="5">
        <f t="shared" si="14"/>
        <v>0</v>
      </c>
      <c r="AG52" s="5">
        <f t="shared" si="17"/>
        <v>73</v>
      </c>
      <c r="AH52" s="5">
        <v>1.32</v>
      </c>
      <c r="AI52" s="5">
        <v>0.5</v>
      </c>
      <c r="AJ52" s="159">
        <v>1</v>
      </c>
      <c r="AK52" s="5"/>
    </row>
    <row r="53" spans="1:37" ht="14.25" hidden="1">
      <c r="A53" s="20"/>
      <c r="B53" s="24">
        <f t="shared" si="21"/>
        <v>0.8385613435932148</v>
      </c>
      <c r="C53" s="82">
        <f t="shared" si="22"/>
        <v>64</v>
      </c>
      <c r="D53" s="82">
        <f t="shared" si="22"/>
        <v>61</v>
      </c>
      <c r="E53" s="79">
        <f t="shared" si="23"/>
        <v>0</v>
      </c>
      <c r="F53" s="79">
        <f t="shared" si="24"/>
        <v>0</v>
      </c>
      <c r="G53" s="79">
        <f t="shared" si="25"/>
        <v>0</v>
      </c>
      <c r="H53" s="79">
        <f t="shared" si="26"/>
        <v>0</v>
      </c>
      <c r="I53" s="79">
        <f t="shared" si="27"/>
        <v>0</v>
      </c>
      <c r="J53" s="79">
        <f t="shared" si="28"/>
        <v>0</v>
      </c>
      <c r="K53" s="80">
        <f t="shared" si="20"/>
        <v>0</v>
      </c>
      <c r="L53" s="5"/>
      <c r="M53" s="5"/>
      <c r="N53" s="114">
        <f t="shared" si="18"/>
        <v>84</v>
      </c>
      <c r="O53" s="83">
        <f t="shared" si="1"/>
        <v>2842</v>
      </c>
      <c r="P53" s="83">
        <f t="shared" si="2"/>
        <v>3234</v>
      </c>
      <c r="Q53" s="132">
        <f t="shared" si="3"/>
        <v>3234</v>
      </c>
      <c r="R53" s="83">
        <f t="shared" si="15"/>
        <v>3234</v>
      </c>
      <c r="S53" s="83">
        <f t="shared" si="4"/>
        <v>0</v>
      </c>
      <c r="T53" s="83">
        <f>IF($G$14=2,0.5*$E$16*IF(N53&lt;66,0,1)*IF(N53&gt;69,0,1),0)*IF($E$16&gt;0.5*$D$16,1,0)*IF('Case 1 Income'!$C$9=1,0,1)</f>
        <v>0</v>
      </c>
      <c r="U53" s="83">
        <f t="shared" si="19"/>
        <v>81</v>
      </c>
      <c r="V53" s="83">
        <f t="shared" si="6"/>
        <v>800</v>
      </c>
      <c r="W53" s="86">
        <f t="shared" si="16"/>
        <v>1225</v>
      </c>
      <c r="X53" s="86">
        <f t="shared" si="7"/>
        <v>1225</v>
      </c>
      <c r="Y53" s="86">
        <f t="shared" si="8"/>
        <v>1225</v>
      </c>
      <c r="Z53" s="86">
        <f t="shared" si="9"/>
        <v>1225</v>
      </c>
      <c r="AA53" s="86">
        <f t="shared" si="10"/>
        <v>1225</v>
      </c>
      <c r="AB53" s="86">
        <f t="shared" si="11"/>
        <v>1225</v>
      </c>
      <c r="AC53" s="83">
        <f t="shared" si="12"/>
        <v>1225</v>
      </c>
      <c r="AD53" s="83">
        <f t="shared" si="13"/>
        <v>3234</v>
      </c>
      <c r="AE53" s="83">
        <f>(IF(AC53&gt;AD53,AC53,AD53)-$H$20*IF(U53&lt;65,0,1)*IF(U53&gt;$E$17-1,0,1))*IF('Case 1 Income'!$C$9=1,0,1)</f>
        <v>3234</v>
      </c>
      <c r="AF53" s="5">
        <f t="shared" si="14"/>
        <v>0</v>
      </c>
      <c r="AG53" s="5">
        <f t="shared" si="17"/>
        <v>74</v>
      </c>
      <c r="AH53" s="5">
        <v>1.32</v>
      </c>
      <c r="AI53" s="5">
        <v>0.5</v>
      </c>
      <c r="AJ53" s="159">
        <v>1</v>
      </c>
      <c r="AK53" s="5"/>
    </row>
    <row r="54" spans="1:37" ht="14.25" hidden="1">
      <c r="A54" s="20"/>
      <c r="B54" s="24">
        <f t="shared" si="21"/>
        <v>0.802451046500684</v>
      </c>
      <c r="C54" s="82">
        <f t="shared" si="22"/>
        <v>65</v>
      </c>
      <c r="D54" s="82">
        <f t="shared" si="22"/>
        <v>62</v>
      </c>
      <c r="E54" s="79">
        <f t="shared" si="23"/>
        <v>0</v>
      </c>
      <c r="F54" s="79">
        <f t="shared" si="24"/>
        <v>0</v>
      </c>
      <c r="G54" s="79">
        <f t="shared" si="25"/>
        <v>0</v>
      </c>
      <c r="H54" s="79">
        <f t="shared" si="26"/>
        <v>0</v>
      </c>
      <c r="I54" s="79">
        <f t="shared" si="27"/>
        <v>0</v>
      </c>
      <c r="J54" s="79">
        <f t="shared" si="28"/>
        <v>0</v>
      </c>
      <c r="K54" s="80">
        <f t="shared" si="20"/>
        <v>0</v>
      </c>
      <c r="L54" s="5"/>
      <c r="M54" s="5"/>
      <c r="N54" s="114">
        <f t="shared" si="18"/>
        <v>85</v>
      </c>
      <c r="O54" s="83">
        <f t="shared" si="1"/>
        <v>2842</v>
      </c>
      <c r="P54" s="83">
        <f t="shared" si="2"/>
        <v>3234</v>
      </c>
      <c r="Q54" s="132">
        <f t="shared" si="3"/>
        <v>3234</v>
      </c>
      <c r="R54" s="83">
        <f t="shared" si="15"/>
        <v>3234</v>
      </c>
      <c r="S54" s="83">
        <f t="shared" si="4"/>
        <v>0</v>
      </c>
      <c r="T54" s="83">
        <f>IF($G$14=2,0.5*$E$16*IF(N54&lt;66,0,1)*IF(N54&gt;69,0,1),0)*IF($E$16&gt;0.5*$D$16,1,0)*IF('Case 1 Income'!$C$9=1,0,1)</f>
        <v>0</v>
      </c>
      <c r="U54" s="83">
        <f t="shared" si="19"/>
        <v>82</v>
      </c>
      <c r="V54" s="83">
        <f t="shared" si="6"/>
        <v>800</v>
      </c>
      <c r="W54" s="86">
        <f t="shared" si="16"/>
        <v>1225</v>
      </c>
      <c r="X54" s="86">
        <f t="shared" si="7"/>
        <v>1225</v>
      </c>
      <c r="Y54" s="86">
        <f t="shared" si="8"/>
        <v>1225</v>
      </c>
      <c r="Z54" s="86">
        <f t="shared" si="9"/>
        <v>1225</v>
      </c>
      <c r="AA54" s="86">
        <f t="shared" si="10"/>
        <v>1225</v>
      </c>
      <c r="AB54" s="86">
        <f t="shared" si="11"/>
        <v>1225</v>
      </c>
      <c r="AC54" s="83">
        <f t="shared" si="12"/>
        <v>1225</v>
      </c>
      <c r="AD54" s="83">
        <f t="shared" si="13"/>
        <v>3234</v>
      </c>
      <c r="AE54" s="83">
        <f>(IF(AC54&gt;AD54,AC54,AD54)-$H$20*IF(U54&lt;65,0,1)*IF(U54&gt;$E$17-1,0,1))*IF('Case 1 Income'!$C$9=1,0,1)</f>
        <v>3234</v>
      </c>
      <c r="AF54" s="5">
        <f t="shared" si="14"/>
        <v>0</v>
      </c>
      <c r="AG54" s="5">
        <f t="shared" si="17"/>
        <v>75</v>
      </c>
      <c r="AH54" s="5">
        <v>1.32</v>
      </c>
      <c r="AI54" s="5">
        <v>0.5</v>
      </c>
      <c r="AJ54" s="159">
        <v>1</v>
      </c>
      <c r="AK54" s="5"/>
    </row>
    <row r="55" spans="1:37" ht="14.25" hidden="1">
      <c r="A55" s="20"/>
      <c r="B55" s="24">
        <f t="shared" si="21"/>
        <v>0.7678957382781666</v>
      </c>
      <c r="C55" s="82">
        <f t="shared" si="22"/>
        <v>66</v>
      </c>
      <c r="D55" s="82">
        <f t="shared" si="22"/>
        <v>63</v>
      </c>
      <c r="E55" s="79">
        <f t="shared" si="23"/>
        <v>0</v>
      </c>
      <c r="F55" s="79">
        <f t="shared" si="24"/>
        <v>0</v>
      </c>
      <c r="G55" s="79">
        <f t="shared" si="25"/>
        <v>0</v>
      </c>
      <c r="H55" s="79">
        <f t="shared" si="26"/>
        <v>0</v>
      </c>
      <c r="I55" s="79">
        <f t="shared" si="27"/>
        <v>0</v>
      </c>
      <c r="J55" s="79">
        <f t="shared" si="28"/>
        <v>0</v>
      </c>
      <c r="K55" s="80">
        <f t="shared" si="20"/>
        <v>0</v>
      </c>
      <c r="L55" s="5"/>
      <c r="M55" s="5"/>
      <c r="N55" s="114">
        <f t="shared" si="18"/>
        <v>86</v>
      </c>
      <c r="O55" s="83">
        <f t="shared" si="1"/>
        <v>2842</v>
      </c>
      <c r="P55" s="83">
        <f t="shared" si="2"/>
        <v>3234</v>
      </c>
      <c r="Q55" s="132">
        <f t="shared" si="3"/>
        <v>3234</v>
      </c>
      <c r="R55" s="83">
        <f t="shared" si="15"/>
        <v>3234</v>
      </c>
      <c r="S55" s="83">
        <f t="shared" si="4"/>
        <v>0</v>
      </c>
      <c r="T55" s="83">
        <f>IF($G$14=2,0.5*$E$16*IF(N55&lt;66,0,1)*IF(N55&gt;69,0,1),0)*IF($E$16&gt;0.5*$D$16,1,0)*IF('Case 1 Income'!$C$9=1,0,1)</f>
        <v>0</v>
      </c>
      <c r="U55" s="83">
        <f t="shared" si="19"/>
        <v>83</v>
      </c>
      <c r="V55" s="83">
        <f t="shared" si="6"/>
        <v>800</v>
      </c>
      <c r="W55" s="86">
        <f t="shared" si="16"/>
        <v>1225</v>
      </c>
      <c r="X55" s="86">
        <f t="shared" si="7"/>
        <v>1225</v>
      </c>
      <c r="Y55" s="86">
        <f t="shared" si="8"/>
        <v>1225</v>
      </c>
      <c r="Z55" s="86">
        <f t="shared" si="9"/>
        <v>1225</v>
      </c>
      <c r="AA55" s="86">
        <f t="shared" si="10"/>
        <v>1225</v>
      </c>
      <c r="AB55" s="86">
        <f t="shared" si="11"/>
        <v>1225</v>
      </c>
      <c r="AC55" s="83">
        <f t="shared" si="12"/>
        <v>1225</v>
      </c>
      <c r="AD55" s="83">
        <f t="shared" si="13"/>
        <v>3234</v>
      </c>
      <c r="AE55" s="83">
        <f>(IF(AC55&gt;AD55,AC55,AD55)-$H$20*IF(U55&lt;65,0,1)*IF(U55&gt;$E$17-1,0,1))*IF('Case 1 Income'!$C$9=1,0,1)</f>
        <v>3234</v>
      </c>
      <c r="AF55" s="5">
        <f t="shared" si="14"/>
        <v>0</v>
      </c>
      <c r="AG55" s="5">
        <f t="shared" si="17"/>
        <v>76</v>
      </c>
      <c r="AH55" s="5">
        <v>1.32</v>
      </c>
      <c r="AI55" s="5">
        <v>0.5</v>
      </c>
      <c r="AJ55" s="159">
        <v>1</v>
      </c>
      <c r="AK55" s="5"/>
    </row>
    <row r="56" spans="1:37" ht="14.25" hidden="1">
      <c r="A56" s="20"/>
      <c r="B56" s="24">
        <f t="shared" si="21"/>
        <v>0.7348284576824561</v>
      </c>
      <c r="C56" s="82">
        <f t="shared" si="22"/>
        <v>67</v>
      </c>
      <c r="D56" s="82">
        <f t="shared" si="22"/>
        <v>64</v>
      </c>
      <c r="E56" s="79">
        <f t="shared" si="23"/>
        <v>0</v>
      </c>
      <c r="F56" s="79">
        <f t="shared" si="24"/>
        <v>0</v>
      </c>
      <c r="G56" s="79">
        <f t="shared" si="25"/>
        <v>0</v>
      </c>
      <c r="H56" s="79">
        <f t="shared" si="26"/>
        <v>0</v>
      </c>
      <c r="I56" s="79">
        <f t="shared" si="27"/>
        <v>0</v>
      </c>
      <c r="J56" s="79">
        <f t="shared" si="28"/>
        <v>0</v>
      </c>
      <c r="K56" s="80">
        <f t="shared" si="20"/>
        <v>0</v>
      </c>
      <c r="L56" s="5"/>
      <c r="M56" s="5"/>
      <c r="N56" s="114">
        <f t="shared" si="18"/>
        <v>87</v>
      </c>
      <c r="O56" s="83">
        <f t="shared" si="1"/>
        <v>2842</v>
      </c>
      <c r="P56" s="83">
        <f t="shared" si="2"/>
        <v>3234</v>
      </c>
      <c r="Q56" s="132">
        <f t="shared" si="3"/>
        <v>3234</v>
      </c>
      <c r="R56" s="83">
        <f t="shared" si="15"/>
        <v>3234</v>
      </c>
      <c r="S56" s="83">
        <f t="shared" si="4"/>
        <v>0</v>
      </c>
      <c r="T56" s="83">
        <f>IF($G$14=2,0.5*$E$16*IF(N56&lt;66,0,1)*IF(N56&gt;69,0,1),0)*IF($E$16&gt;0.5*$D$16,1,0)*IF('Case 1 Income'!$C$9=1,0,1)</f>
        <v>0</v>
      </c>
      <c r="U56" s="83">
        <f t="shared" si="19"/>
        <v>84</v>
      </c>
      <c r="V56" s="83">
        <f t="shared" si="6"/>
        <v>800</v>
      </c>
      <c r="W56" s="86">
        <f t="shared" si="16"/>
        <v>1225</v>
      </c>
      <c r="X56" s="86">
        <f t="shared" si="7"/>
        <v>1225</v>
      </c>
      <c r="Y56" s="86">
        <f t="shared" si="8"/>
        <v>1225</v>
      </c>
      <c r="Z56" s="86">
        <f t="shared" si="9"/>
        <v>1225</v>
      </c>
      <c r="AA56" s="86">
        <f t="shared" si="10"/>
        <v>1225</v>
      </c>
      <c r="AB56" s="86">
        <f t="shared" si="11"/>
        <v>1225</v>
      </c>
      <c r="AC56" s="83">
        <f t="shared" si="12"/>
        <v>1225</v>
      </c>
      <c r="AD56" s="83">
        <f t="shared" si="13"/>
        <v>3234</v>
      </c>
      <c r="AE56" s="83">
        <f>(IF(AC56&gt;AD56,AC56,AD56)-$H$20*IF(U56&lt;65,0,1)*IF(U56&gt;$E$17-1,0,1))*IF('Case 1 Income'!$C$9=1,0,1)</f>
        <v>3234</v>
      </c>
      <c r="AF56" s="5">
        <f t="shared" si="14"/>
        <v>0</v>
      </c>
      <c r="AG56" s="5">
        <f t="shared" si="17"/>
        <v>77</v>
      </c>
      <c r="AH56" s="5">
        <v>1.32</v>
      </c>
      <c r="AI56" s="5">
        <v>0.5</v>
      </c>
      <c r="AJ56" s="159">
        <v>1</v>
      </c>
      <c r="AK56" s="5"/>
    </row>
    <row r="57" spans="1:37" ht="14.25" hidden="1">
      <c r="A57" s="20"/>
      <c r="B57" s="24">
        <f t="shared" si="21"/>
        <v>0.7031851269688575</v>
      </c>
      <c r="C57" s="82">
        <f t="shared" si="22"/>
        <v>68</v>
      </c>
      <c r="D57" s="82">
        <f t="shared" si="22"/>
        <v>65</v>
      </c>
      <c r="E57" s="79">
        <f t="shared" si="23"/>
        <v>0</v>
      </c>
      <c r="F57" s="79">
        <f t="shared" si="24"/>
        <v>0</v>
      </c>
      <c r="G57" s="79">
        <f t="shared" si="25"/>
        <v>0</v>
      </c>
      <c r="H57" s="79">
        <f t="shared" si="26"/>
        <v>0</v>
      </c>
      <c r="I57" s="79">
        <f t="shared" si="27"/>
        <v>0</v>
      </c>
      <c r="J57" s="79">
        <f t="shared" si="28"/>
        <v>0</v>
      </c>
      <c r="K57" s="80">
        <f t="shared" si="20"/>
        <v>0</v>
      </c>
      <c r="L57" s="5"/>
      <c r="M57" s="5"/>
      <c r="N57" s="114">
        <f t="shared" si="18"/>
        <v>88</v>
      </c>
      <c r="O57" s="83">
        <f t="shared" si="1"/>
        <v>2842</v>
      </c>
      <c r="P57" s="83">
        <f t="shared" si="2"/>
        <v>3234</v>
      </c>
      <c r="Q57" s="132">
        <f t="shared" si="3"/>
        <v>3234</v>
      </c>
      <c r="R57" s="83">
        <f t="shared" si="15"/>
        <v>3234</v>
      </c>
      <c r="S57" s="83">
        <f t="shared" si="4"/>
        <v>0</v>
      </c>
      <c r="T57" s="83">
        <f>IF($G$14=2,0.5*$E$16*IF(N57&lt;66,0,1)*IF(N57&gt;69,0,1),0)*IF($E$16&gt;0.5*$D$16,1,0)*IF('Case 1 Income'!$C$9=1,0,1)</f>
        <v>0</v>
      </c>
      <c r="U57" s="83">
        <f t="shared" si="19"/>
        <v>85</v>
      </c>
      <c r="V57" s="83">
        <f t="shared" si="6"/>
        <v>800</v>
      </c>
      <c r="W57" s="86">
        <f t="shared" si="16"/>
        <v>1225</v>
      </c>
      <c r="X57" s="86">
        <f t="shared" si="7"/>
        <v>1225</v>
      </c>
      <c r="Y57" s="86">
        <f t="shared" si="8"/>
        <v>1225</v>
      </c>
      <c r="Z57" s="86">
        <f t="shared" si="9"/>
        <v>1225</v>
      </c>
      <c r="AA57" s="86">
        <f t="shared" si="10"/>
        <v>1225</v>
      </c>
      <c r="AB57" s="86">
        <f t="shared" si="11"/>
        <v>1225</v>
      </c>
      <c r="AC57" s="83">
        <f t="shared" si="12"/>
        <v>1225</v>
      </c>
      <c r="AD57" s="83">
        <f t="shared" si="13"/>
        <v>3234</v>
      </c>
      <c r="AE57" s="83">
        <f>(IF(AC57&gt;AD57,AC57,AD57)-$H$20*IF(U57&lt;65,0,1)*IF(U57&gt;$E$17-1,0,1))*IF('Case 1 Income'!$C$9=1,0,1)</f>
        <v>3234</v>
      </c>
      <c r="AF57" s="5">
        <f t="shared" si="14"/>
        <v>0</v>
      </c>
      <c r="AG57" s="5">
        <f t="shared" si="17"/>
        <v>78</v>
      </c>
      <c r="AH57" s="5">
        <v>1.32</v>
      </c>
      <c r="AI57" s="5">
        <v>0.5</v>
      </c>
      <c r="AJ57" s="159">
        <v>1</v>
      </c>
      <c r="AK57" s="5"/>
    </row>
    <row r="58" spans="1:37" ht="14.25" hidden="1">
      <c r="A58" s="20"/>
      <c r="B58" s="24">
        <f t="shared" si="21"/>
        <v>0.6729044277213948</v>
      </c>
      <c r="C58" s="82">
        <f t="shared" si="22"/>
        <v>69</v>
      </c>
      <c r="D58" s="82">
        <f t="shared" si="22"/>
        <v>66</v>
      </c>
      <c r="E58" s="79">
        <f t="shared" si="23"/>
        <v>0</v>
      </c>
      <c r="F58" s="79">
        <f t="shared" si="24"/>
        <v>1225</v>
      </c>
      <c r="G58" s="79">
        <f t="shared" si="25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80">
        <f t="shared" si="20"/>
        <v>14700</v>
      </c>
      <c r="L58" s="5"/>
      <c r="M58" s="5"/>
      <c r="N58" s="114">
        <f t="shared" si="18"/>
        <v>89</v>
      </c>
      <c r="O58" s="83">
        <f t="shared" si="1"/>
        <v>2842</v>
      </c>
      <c r="P58" s="83">
        <f t="shared" si="2"/>
        <v>3234</v>
      </c>
      <c r="Q58" s="132">
        <f t="shared" si="3"/>
        <v>3234</v>
      </c>
      <c r="R58" s="83">
        <f t="shared" si="15"/>
        <v>3234</v>
      </c>
      <c r="S58" s="83">
        <f t="shared" si="4"/>
        <v>0</v>
      </c>
      <c r="T58" s="83">
        <f>IF($G$14=2,0.5*$E$16*IF(N58&lt;66,0,1)*IF(N58&gt;69,0,1),0)*IF($E$16&gt;0.5*$D$16,1,0)*IF('Case 1 Income'!$C$9=1,0,1)</f>
        <v>0</v>
      </c>
      <c r="U58" s="83">
        <f t="shared" si="19"/>
        <v>86</v>
      </c>
      <c r="V58" s="83">
        <f t="shared" si="6"/>
        <v>800</v>
      </c>
      <c r="W58" s="86">
        <f t="shared" si="16"/>
        <v>1225</v>
      </c>
      <c r="X58" s="86">
        <f t="shared" si="7"/>
        <v>1225</v>
      </c>
      <c r="Y58" s="86">
        <f t="shared" si="8"/>
        <v>1225</v>
      </c>
      <c r="Z58" s="86">
        <f t="shared" si="9"/>
        <v>1225</v>
      </c>
      <c r="AA58" s="86">
        <f t="shared" si="10"/>
        <v>1225</v>
      </c>
      <c r="AB58" s="86">
        <f t="shared" si="11"/>
        <v>1225</v>
      </c>
      <c r="AC58" s="83">
        <f t="shared" si="12"/>
        <v>1225</v>
      </c>
      <c r="AD58" s="83">
        <f t="shared" si="13"/>
        <v>3234</v>
      </c>
      <c r="AE58" s="83">
        <f>(IF(AC58&gt;AD58,AC58,AD58)-$H$20*IF(U58&lt;65,0,1)*IF(U58&gt;$E$17-1,0,1))*IF('Case 1 Income'!$C$9=1,0,1)</f>
        <v>3234</v>
      </c>
      <c r="AF58" s="5">
        <f t="shared" si="14"/>
        <v>0</v>
      </c>
      <c r="AG58" s="5">
        <f t="shared" si="17"/>
        <v>79</v>
      </c>
      <c r="AH58" s="5">
        <v>1.32</v>
      </c>
      <c r="AI58" s="5">
        <v>0.5</v>
      </c>
      <c r="AJ58" s="159">
        <v>1</v>
      </c>
      <c r="AK58" s="5"/>
    </row>
    <row r="59" spans="1:37" ht="14.25" hidden="1">
      <c r="A59" s="20"/>
      <c r="B59" s="24">
        <f t="shared" si="21"/>
        <v>0.6439276820300429</v>
      </c>
      <c r="C59" s="82">
        <f t="shared" si="22"/>
        <v>70</v>
      </c>
      <c r="D59" s="82">
        <f t="shared" si="22"/>
        <v>67</v>
      </c>
      <c r="E59" s="79">
        <f t="shared" si="23"/>
        <v>3234</v>
      </c>
      <c r="F59" s="79">
        <f t="shared" si="24"/>
        <v>1225</v>
      </c>
      <c r="G59" s="79">
        <f t="shared" si="25"/>
        <v>0</v>
      </c>
      <c r="H59" s="79">
        <f t="shared" si="26"/>
        <v>0</v>
      </c>
      <c r="I59" s="79">
        <f t="shared" si="27"/>
        <v>0</v>
      </c>
      <c r="J59" s="79">
        <f t="shared" si="28"/>
        <v>0</v>
      </c>
      <c r="K59" s="80">
        <f t="shared" si="20"/>
        <v>53508</v>
      </c>
      <c r="L59" s="5"/>
      <c r="M59" s="5"/>
      <c r="N59" s="114">
        <f t="shared" si="18"/>
        <v>90</v>
      </c>
      <c r="O59" s="83">
        <f t="shared" si="1"/>
        <v>2842</v>
      </c>
      <c r="P59" s="83">
        <f t="shared" si="2"/>
        <v>3234</v>
      </c>
      <c r="Q59" s="132">
        <f t="shared" si="3"/>
        <v>3234</v>
      </c>
      <c r="R59" s="83">
        <f t="shared" si="15"/>
        <v>3234</v>
      </c>
      <c r="S59" s="83">
        <f t="shared" si="4"/>
        <v>0</v>
      </c>
      <c r="T59" s="83">
        <f>IF($G$14=2,0.5*$E$16*IF(N59&lt;66,0,1)*IF(N59&gt;69,0,1),0)*IF($E$16&gt;0.5*$D$16,1,0)*IF('Case 1 Income'!$C$9=1,0,1)</f>
        <v>0</v>
      </c>
      <c r="U59" s="83">
        <f t="shared" si="19"/>
        <v>87</v>
      </c>
      <c r="V59" s="83">
        <f t="shared" si="6"/>
        <v>800</v>
      </c>
      <c r="W59" s="86">
        <f t="shared" si="16"/>
        <v>1225</v>
      </c>
      <c r="X59" s="86">
        <f t="shared" si="7"/>
        <v>1225</v>
      </c>
      <c r="Y59" s="86">
        <f t="shared" si="8"/>
        <v>1225</v>
      </c>
      <c r="Z59" s="86">
        <f t="shared" si="9"/>
        <v>1225</v>
      </c>
      <c r="AA59" s="86">
        <f t="shared" si="10"/>
        <v>1225</v>
      </c>
      <c r="AB59" s="86">
        <f t="shared" si="11"/>
        <v>1225</v>
      </c>
      <c r="AC59" s="83">
        <f t="shared" si="12"/>
        <v>1225</v>
      </c>
      <c r="AD59" s="83">
        <f t="shared" si="13"/>
        <v>3234</v>
      </c>
      <c r="AE59" s="83">
        <f>(IF(AC59&gt;AD59,AC59,AD59)-$H$20*IF(U59&lt;65,0,1)*IF(U59&gt;$E$17-1,0,1))*IF('Case 1 Income'!$C$9=1,0,1)</f>
        <v>3234</v>
      </c>
      <c r="AF59" s="5">
        <f t="shared" si="14"/>
        <v>0</v>
      </c>
      <c r="AG59" s="5">
        <f t="shared" si="17"/>
        <v>80</v>
      </c>
      <c r="AH59" s="5">
        <v>1.32</v>
      </c>
      <c r="AI59" s="5">
        <v>0.5</v>
      </c>
      <c r="AJ59" s="159">
        <v>1</v>
      </c>
      <c r="AK59" s="5"/>
    </row>
    <row r="60" spans="1:37" ht="14.25" hidden="1">
      <c r="A60" s="20"/>
      <c r="B60" s="24">
        <f t="shared" si="21"/>
        <v>0.6161987387847301</v>
      </c>
      <c r="C60" s="82">
        <f t="shared" si="22"/>
        <v>71</v>
      </c>
      <c r="D60" s="82">
        <f t="shared" si="22"/>
        <v>68</v>
      </c>
      <c r="E60" s="79">
        <f t="shared" si="23"/>
        <v>3234</v>
      </c>
      <c r="F60" s="79">
        <f t="shared" si="24"/>
        <v>1225</v>
      </c>
      <c r="G60" s="79">
        <f t="shared" si="25"/>
        <v>0</v>
      </c>
      <c r="H60" s="79">
        <f t="shared" si="26"/>
        <v>0</v>
      </c>
      <c r="I60" s="79">
        <f t="shared" si="27"/>
        <v>0</v>
      </c>
      <c r="J60" s="79">
        <f t="shared" si="28"/>
        <v>0</v>
      </c>
      <c r="K60" s="80">
        <f t="shared" si="20"/>
        <v>53508</v>
      </c>
      <c r="L60" s="5"/>
      <c r="M60" s="5"/>
      <c r="N60" s="114">
        <f t="shared" si="18"/>
        <v>91</v>
      </c>
      <c r="O60" s="83">
        <f t="shared" si="1"/>
        <v>2842</v>
      </c>
      <c r="P60" s="83">
        <f t="shared" si="2"/>
        <v>3234</v>
      </c>
      <c r="Q60" s="132">
        <f t="shared" si="3"/>
        <v>3234</v>
      </c>
      <c r="R60" s="83">
        <f t="shared" si="15"/>
        <v>3234</v>
      </c>
      <c r="S60" s="83">
        <f t="shared" si="4"/>
        <v>0</v>
      </c>
      <c r="T60" s="83">
        <f>IF($G$14=2,0.5*$E$16*IF(N60&lt;66,0,1)*IF(N60&gt;69,0,1),0)*IF($E$16&gt;0.5*$D$16,1,0)*IF('Case 1 Income'!$C$9=1,0,1)</f>
        <v>0</v>
      </c>
      <c r="U60" s="83">
        <f t="shared" si="19"/>
        <v>88</v>
      </c>
      <c r="V60" s="83">
        <f t="shared" si="6"/>
        <v>800</v>
      </c>
      <c r="W60" s="86">
        <f t="shared" si="16"/>
        <v>1225</v>
      </c>
      <c r="X60" s="86">
        <f t="shared" si="7"/>
        <v>1225</v>
      </c>
      <c r="Y60" s="86">
        <f t="shared" si="8"/>
        <v>1225</v>
      </c>
      <c r="Z60" s="86">
        <f t="shared" si="9"/>
        <v>1225</v>
      </c>
      <c r="AA60" s="86">
        <f t="shared" si="10"/>
        <v>1225</v>
      </c>
      <c r="AB60" s="86">
        <f t="shared" si="11"/>
        <v>1225</v>
      </c>
      <c r="AC60" s="83">
        <f t="shared" si="12"/>
        <v>1225</v>
      </c>
      <c r="AD60" s="83">
        <f t="shared" si="13"/>
        <v>3234</v>
      </c>
      <c r="AE60" s="83">
        <f>(IF(AC60&gt;AD60,AC60,AD60)-$H$20*IF(U60&lt;65,0,1)*IF(U60&gt;$E$17-1,0,1))*IF('Case 1 Income'!$C$9=1,0,1)</f>
        <v>3234</v>
      </c>
      <c r="AF60" s="5">
        <f t="shared" si="14"/>
        <v>0</v>
      </c>
      <c r="AG60" s="5">
        <f t="shared" si="17"/>
        <v>81</v>
      </c>
      <c r="AH60" s="5">
        <v>1.32</v>
      </c>
      <c r="AI60" s="5">
        <v>0.5</v>
      </c>
      <c r="AJ60" s="159">
        <v>1</v>
      </c>
      <c r="AK60" s="5"/>
    </row>
    <row r="61" spans="1:37" ht="14.25" hidden="1">
      <c r="A61" s="20"/>
      <c r="B61" s="24">
        <f t="shared" si="21"/>
        <v>0.5896638648657705</v>
      </c>
      <c r="C61" s="82">
        <f t="shared" si="22"/>
        <v>72</v>
      </c>
      <c r="D61" s="82">
        <f t="shared" si="22"/>
        <v>69</v>
      </c>
      <c r="E61" s="79">
        <f t="shared" si="23"/>
        <v>3234</v>
      </c>
      <c r="F61" s="79">
        <f t="shared" si="24"/>
        <v>1225</v>
      </c>
      <c r="G61" s="79">
        <f t="shared" si="25"/>
        <v>0</v>
      </c>
      <c r="H61" s="79">
        <f t="shared" si="26"/>
        <v>0</v>
      </c>
      <c r="I61" s="79">
        <f t="shared" si="27"/>
        <v>0</v>
      </c>
      <c r="J61" s="79">
        <f t="shared" si="28"/>
        <v>0</v>
      </c>
      <c r="K61" s="80">
        <f t="shared" si="20"/>
        <v>53508</v>
      </c>
      <c r="L61" s="5"/>
      <c r="M61" s="5"/>
      <c r="N61" s="114">
        <f aca="true" t="shared" si="29" ref="N61:N80">C81</f>
        <v>92</v>
      </c>
      <c r="O61" s="83">
        <f aca="true" t="shared" si="30" ref="O61:O80">$D$16*IF(C81&lt;$D$14,0,1)*(LOOKUP($D$14,$AG$29:$AH$80))</f>
        <v>2842</v>
      </c>
      <c r="P61" s="83">
        <f aca="true" t="shared" si="31" ref="P61:P80">$D$16*IF(C81&lt;66,0,1.32)*IF($C$49=67,1.24/1.32,1)*IF($C$49=68,1.16/1.32,1)*IF($C$49=69,1.08/1.32,1)*IF(C81&lt;70,0,1)</f>
        <v>3234</v>
      </c>
      <c r="Q61" s="132">
        <f aca="true" t="shared" si="32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3234</v>
      </c>
      <c r="R61" s="83">
        <f t="shared" si="15"/>
        <v>3234</v>
      </c>
      <c r="S61" s="83">
        <f aca="true" t="shared" si="33" ref="S61:S80">IF(N61&gt;69,0,R61)*IF(N61&lt;$D$15,0,1)</f>
        <v>0</v>
      </c>
      <c r="T61" s="83">
        <f>IF($G$14=2,0.5*$E$16*IF(N61&lt;66,0,1)*IF(N61&gt;69,0,1),0)*IF($E$16&gt;0.5*$D$16,1,0)*IF('Case 1 Income'!$C$9=1,0,1)</f>
        <v>0</v>
      </c>
      <c r="U61" s="83">
        <f aca="true" t="shared" si="34" ref="U61:U80">D81</f>
        <v>89</v>
      </c>
      <c r="V61" s="83">
        <f aca="true" t="shared" si="35" ref="V61:V80">$E$16*IF(D81&lt;$E$14,0,1)*(VLOOKUP($E$14,$AG$29:$AI$80,2))</f>
        <v>800</v>
      </c>
      <c r="W61" s="86">
        <f t="shared" si="16"/>
        <v>1225</v>
      </c>
      <c r="X61" s="86">
        <f aca="true" t="shared" si="36" ref="X61:X80">$D$16*VLOOKUP($E$14,$AG$29:$AI$80,3)*IF(C81&lt;66,0,1)*IF(D81&lt;$E$14,0,1)</f>
        <v>1225</v>
      </c>
      <c r="Y61" s="86">
        <f aca="true" t="shared" si="37" ref="Y61:Y80">$D$16*VLOOKUP($E$14,$AG$29:$AI$80,3)*IF(C81&lt;$D$14,0,1)*IF(D81&lt;$E$14,0,1)</f>
        <v>1225</v>
      </c>
      <c r="Z61" s="86">
        <f aca="true" t="shared" si="38" ref="Z61:Z80">IF(V61&gt;W61,V61,W61)</f>
        <v>1225</v>
      </c>
      <c r="AA61" s="86">
        <f aca="true" t="shared" si="39" ref="AA61:AA80">IF(V61&gt;X61,V61,X61)</f>
        <v>1225</v>
      </c>
      <c r="AB61" s="86">
        <f aca="true" t="shared" si="40" ref="AB61:AB80">IF(V61&gt;Y61,V61,Y61)</f>
        <v>1225</v>
      </c>
      <c r="AC61" s="83">
        <f aca="true" t="shared" si="41" ref="AC61:AC80">IF($G$14=1,Z61,IF($G$14=2,AA61,AB61))</f>
        <v>1225</v>
      </c>
      <c r="AD61" s="83">
        <f aca="true" t="shared" si="42" ref="AD61:AD80">IF(R61&gt;AC61,R61,AC61)*IF(C81&lt;$D$17,0,1)</f>
        <v>3234</v>
      </c>
      <c r="AE61" s="83">
        <f>(IF(AC61&gt;AD61,AC61,AD61)-$H$20*IF(U61&lt;65,0,1)*IF(U61&gt;$E$17-1,0,1))*IF('Case 1 Income'!$C$9=1,0,1)</f>
        <v>3234</v>
      </c>
      <c r="AF61" s="5">
        <f aca="true" t="shared" si="43" ref="AF61:AF80">IF(U61&gt;69,0,AE61)*IF(U61&lt;$D$15-$D$13+$E$13,0,1)</f>
        <v>0</v>
      </c>
      <c r="AG61" s="5">
        <f t="shared" si="17"/>
        <v>82</v>
      </c>
      <c r="AH61" s="5">
        <v>1.32</v>
      </c>
      <c r="AI61" s="5">
        <v>0.5</v>
      </c>
      <c r="AJ61" s="159">
        <v>1</v>
      </c>
      <c r="AK61" s="5"/>
    </row>
    <row r="62" spans="1:37" ht="14.25" hidden="1">
      <c r="A62" s="20"/>
      <c r="B62" s="24">
        <f t="shared" si="21"/>
        <v>0.5642716410198761</v>
      </c>
      <c r="C62" s="82">
        <f t="shared" si="22"/>
        <v>73</v>
      </c>
      <c r="D62" s="82">
        <f t="shared" si="22"/>
        <v>70</v>
      </c>
      <c r="E62" s="79">
        <f t="shared" si="23"/>
        <v>3234</v>
      </c>
      <c r="F62" s="79">
        <f t="shared" si="24"/>
        <v>1225</v>
      </c>
      <c r="G62" s="79">
        <f t="shared" si="25"/>
        <v>0</v>
      </c>
      <c r="H62" s="79">
        <f t="shared" si="26"/>
        <v>0</v>
      </c>
      <c r="I62" s="79">
        <f t="shared" si="27"/>
        <v>0</v>
      </c>
      <c r="J62" s="79">
        <f t="shared" si="28"/>
        <v>0</v>
      </c>
      <c r="K62" s="80">
        <f t="shared" si="20"/>
        <v>53508</v>
      </c>
      <c r="L62" s="5"/>
      <c r="M62" s="5"/>
      <c r="N62" s="114">
        <f t="shared" si="29"/>
        <v>93</v>
      </c>
      <c r="O62" s="83">
        <f t="shared" si="30"/>
        <v>2842</v>
      </c>
      <c r="P62" s="83">
        <f t="shared" si="31"/>
        <v>3234</v>
      </c>
      <c r="Q62" s="132">
        <f t="shared" si="32"/>
        <v>3234</v>
      </c>
      <c r="R62" s="83">
        <f t="shared" si="15"/>
        <v>3234</v>
      </c>
      <c r="S62" s="83">
        <f t="shared" si="33"/>
        <v>0</v>
      </c>
      <c r="T62" s="83">
        <f>IF($G$14=2,0.5*$E$16*IF(N62&lt;66,0,1)*IF(N62&gt;69,0,1),0)*IF($E$16&gt;0.5*$D$16,1,0)*IF('Case 1 Income'!$C$9=1,0,1)</f>
        <v>0</v>
      </c>
      <c r="U62" s="83">
        <f t="shared" si="34"/>
        <v>90</v>
      </c>
      <c r="V62" s="83">
        <f t="shared" si="35"/>
        <v>800</v>
      </c>
      <c r="W62" s="86">
        <f aca="true" t="shared" si="44" ref="W62:W80">$D$16*IF(C82&lt;$D$14,0,1)*IF(D82&lt;$E$14,0,1)*VLOOKUP($E$14,$AG$29:$AI$80,3)</f>
        <v>1225</v>
      </c>
      <c r="X62" s="86">
        <f t="shared" si="36"/>
        <v>1225</v>
      </c>
      <c r="Y62" s="86">
        <f t="shared" si="37"/>
        <v>1225</v>
      </c>
      <c r="Z62" s="86">
        <f t="shared" si="38"/>
        <v>1225</v>
      </c>
      <c r="AA62" s="86">
        <f t="shared" si="39"/>
        <v>1225</v>
      </c>
      <c r="AB62" s="86">
        <f t="shared" si="40"/>
        <v>1225</v>
      </c>
      <c r="AC62" s="83">
        <f t="shared" si="41"/>
        <v>1225</v>
      </c>
      <c r="AD62" s="83">
        <f t="shared" si="42"/>
        <v>3234</v>
      </c>
      <c r="AE62" s="83">
        <f>(IF(AC62&gt;AD62,AC62,AD62)-$H$20*IF(U62&lt;65,0,1)*IF(U62&gt;$E$17-1,0,1))*IF('Case 1 Income'!$C$9=1,0,1)</f>
        <v>3234</v>
      </c>
      <c r="AF62" s="5">
        <f t="shared" si="43"/>
        <v>0</v>
      </c>
      <c r="AG62" s="5">
        <f aca="true" t="shared" si="45" ref="AG62:AG80">AG61+1</f>
        <v>83</v>
      </c>
      <c r="AH62" s="5">
        <v>1.32</v>
      </c>
      <c r="AI62" s="5">
        <v>0.5</v>
      </c>
      <c r="AJ62" s="159">
        <v>1</v>
      </c>
      <c r="AK62" s="5"/>
    </row>
    <row r="63" spans="1:37" ht="14.25" hidden="1">
      <c r="A63" s="20"/>
      <c r="B63" s="24">
        <f t="shared" si="21"/>
        <v>0.5399728622199772</v>
      </c>
      <c r="C63" s="82">
        <f t="shared" si="22"/>
        <v>74</v>
      </c>
      <c r="D63" s="82">
        <f t="shared" si="22"/>
        <v>71</v>
      </c>
      <c r="E63" s="79">
        <f t="shared" si="23"/>
        <v>3234</v>
      </c>
      <c r="F63" s="79">
        <f t="shared" si="24"/>
        <v>1225</v>
      </c>
      <c r="G63" s="79">
        <f t="shared" si="25"/>
        <v>0</v>
      </c>
      <c r="H63" s="79">
        <f t="shared" si="26"/>
        <v>0</v>
      </c>
      <c r="I63" s="79">
        <f t="shared" si="27"/>
        <v>0</v>
      </c>
      <c r="J63" s="79">
        <f t="shared" si="28"/>
        <v>0</v>
      </c>
      <c r="K63" s="80">
        <f t="shared" si="20"/>
        <v>53508</v>
      </c>
      <c r="L63" s="5"/>
      <c r="M63" s="5"/>
      <c r="N63" s="114">
        <f t="shared" si="29"/>
        <v>94</v>
      </c>
      <c r="O63" s="83">
        <f t="shared" si="30"/>
        <v>2842</v>
      </c>
      <c r="P63" s="83">
        <f t="shared" si="31"/>
        <v>3234</v>
      </c>
      <c r="Q63" s="132">
        <f t="shared" si="32"/>
        <v>3234</v>
      </c>
      <c r="R63" s="83">
        <f t="shared" si="15"/>
        <v>3234</v>
      </c>
      <c r="S63" s="83">
        <f t="shared" si="33"/>
        <v>0</v>
      </c>
      <c r="T63" s="83">
        <f>IF($G$14=2,0.5*$E$16*IF(N63&lt;66,0,1)*IF(N63&gt;69,0,1),0)*IF($E$16&gt;0.5*$D$16,1,0)*IF('Case 1 Income'!$C$9=1,0,1)</f>
        <v>0</v>
      </c>
      <c r="U63" s="83">
        <f t="shared" si="34"/>
        <v>91</v>
      </c>
      <c r="V63" s="83">
        <f t="shared" si="35"/>
        <v>800</v>
      </c>
      <c r="W63" s="86">
        <f t="shared" si="44"/>
        <v>1225</v>
      </c>
      <c r="X63" s="86">
        <f t="shared" si="36"/>
        <v>1225</v>
      </c>
      <c r="Y63" s="86">
        <f t="shared" si="37"/>
        <v>1225</v>
      </c>
      <c r="Z63" s="86">
        <f t="shared" si="38"/>
        <v>1225</v>
      </c>
      <c r="AA63" s="86">
        <f t="shared" si="39"/>
        <v>1225</v>
      </c>
      <c r="AB63" s="86">
        <f t="shared" si="40"/>
        <v>1225</v>
      </c>
      <c r="AC63" s="83">
        <f t="shared" si="41"/>
        <v>1225</v>
      </c>
      <c r="AD63" s="83">
        <f t="shared" si="42"/>
        <v>3234</v>
      </c>
      <c r="AE63" s="83">
        <f>(IF(AC63&gt;AD63,AC63,AD63)-$H$20*IF(U63&lt;65,0,1)*IF(U63&gt;$E$17-1,0,1))*IF('Case 1 Income'!$C$9=1,0,1)</f>
        <v>3234</v>
      </c>
      <c r="AF63" s="5">
        <f t="shared" si="43"/>
        <v>0</v>
      </c>
      <c r="AG63" s="5">
        <f t="shared" si="45"/>
        <v>84</v>
      </c>
      <c r="AH63" s="5">
        <v>1.32</v>
      </c>
      <c r="AI63" s="5">
        <v>0.5</v>
      </c>
      <c r="AJ63" s="159">
        <v>1</v>
      </c>
      <c r="AK63" s="5"/>
    </row>
    <row r="64" spans="1:37" ht="14.25" hidden="1">
      <c r="A64" s="20"/>
      <c r="B64" s="24">
        <f t="shared" si="21"/>
        <v>0.5167204423157676</v>
      </c>
      <c r="C64" s="82">
        <f t="shared" si="22"/>
        <v>75</v>
      </c>
      <c r="D64" s="82">
        <f t="shared" si="22"/>
        <v>72</v>
      </c>
      <c r="E64" s="79">
        <f t="shared" si="23"/>
        <v>3234</v>
      </c>
      <c r="F64" s="79">
        <f t="shared" si="24"/>
        <v>1225</v>
      </c>
      <c r="G64" s="79">
        <f t="shared" si="25"/>
        <v>0</v>
      </c>
      <c r="H64" s="79">
        <f t="shared" si="26"/>
        <v>0</v>
      </c>
      <c r="I64" s="79">
        <f t="shared" si="27"/>
        <v>0</v>
      </c>
      <c r="J64" s="79">
        <f t="shared" si="28"/>
        <v>0</v>
      </c>
      <c r="K64" s="80">
        <f t="shared" si="20"/>
        <v>53508</v>
      </c>
      <c r="L64" s="5"/>
      <c r="M64" s="5"/>
      <c r="N64" s="114">
        <f t="shared" si="29"/>
        <v>95</v>
      </c>
      <c r="O64" s="83">
        <f t="shared" si="30"/>
        <v>2842</v>
      </c>
      <c r="P64" s="83">
        <f t="shared" si="31"/>
        <v>3234</v>
      </c>
      <c r="Q64" s="132">
        <f t="shared" si="32"/>
        <v>3234</v>
      </c>
      <c r="R64" s="83">
        <f t="shared" si="15"/>
        <v>3234</v>
      </c>
      <c r="S64" s="83">
        <f t="shared" si="33"/>
        <v>0</v>
      </c>
      <c r="T64" s="83">
        <f>IF($G$14=2,0.5*$E$16*IF(N64&lt;66,0,1)*IF(N64&gt;69,0,1),0)*IF($E$16&gt;0.5*$D$16,1,0)*IF('Case 1 Income'!$C$9=1,0,1)</f>
        <v>0</v>
      </c>
      <c r="U64" s="83">
        <f t="shared" si="34"/>
        <v>92</v>
      </c>
      <c r="V64" s="83">
        <f t="shared" si="35"/>
        <v>800</v>
      </c>
      <c r="W64" s="86">
        <f t="shared" si="44"/>
        <v>1225</v>
      </c>
      <c r="X64" s="86">
        <f t="shared" si="36"/>
        <v>1225</v>
      </c>
      <c r="Y64" s="86">
        <f t="shared" si="37"/>
        <v>1225</v>
      </c>
      <c r="Z64" s="86">
        <f t="shared" si="38"/>
        <v>1225</v>
      </c>
      <c r="AA64" s="86">
        <f t="shared" si="39"/>
        <v>1225</v>
      </c>
      <c r="AB64" s="86">
        <f t="shared" si="40"/>
        <v>1225</v>
      </c>
      <c r="AC64" s="83">
        <f t="shared" si="41"/>
        <v>1225</v>
      </c>
      <c r="AD64" s="83">
        <f t="shared" si="42"/>
        <v>3234</v>
      </c>
      <c r="AE64" s="83">
        <f>(IF(AC64&gt;AD64,AC64,AD64)-$H$20*IF(U64&lt;65,0,1)*IF(U64&gt;$E$17-1,0,1))*IF('Case 1 Income'!$C$9=1,0,1)</f>
        <v>3234</v>
      </c>
      <c r="AF64" s="5">
        <f t="shared" si="43"/>
        <v>0</v>
      </c>
      <c r="AG64" s="5">
        <f t="shared" si="45"/>
        <v>85</v>
      </c>
      <c r="AH64" s="5">
        <v>1.32</v>
      </c>
      <c r="AI64" s="5">
        <v>0.5</v>
      </c>
      <c r="AJ64" s="159">
        <v>1</v>
      </c>
      <c r="AK64" s="5"/>
    </row>
    <row r="65" spans="1:37" ht="14.25" hidden="1">
      <c r="A65" s="20"/>
      <c r="B65" s="24">
        <f t="shared" si="21"/>
        <v>0.4944693227902083</v>
      </c>
      <c r="C65" s="82">
        <f t="shared" si="22"/>
        <v>76</v>
      </c>
      <c r="D65" s="82">
        <f t="shared" si="22"/>
        <v>73</v>
      </c>
      <c r="E65" s="79">
        <f t="shared" si="23"/>
        <v>3234</v>
      </c>
      <c r="F65" s="79">
        <f t="shared" si="24"/>
        <v>1225</v>
      </c>
      <c r="G65" s="79">
        <f t="shared" si="25"/>
        <v>0</v>
      </c>
      <c r="H65" s="79">
        <f t="shared" si="26"/>
        <v>0</v>
      </c>
      <c r="I65" s="79">
        <f t="shared" si="27"/>
        <v>0</v>
      </c>
      <c r="J65" s="79">
        <f t="shared" si="28"/>
        <v>0</v>
      </c>
      <c r="K65" s="80">
        <f t="shared" si="20"/>
        <v>53508</v>
      </c>
      <c r="L65" s="5"/>
      <c r="M65" s="5"/>
      <c r="N65" s="114">
        <f t="shared" si="29"/>
        <v>96</v>
      </c>
      <c r="O65" s="83">
        <f t="shared" si="30"/>
        <v>2842</v>
      </c>
      <c r="P65" s="83">
        <f t="shared" si="31"/>
        <v>3234</v>
      </c>
      <c r="Q65" s="132">
        <f t="shared" si="32"/>
        <v>3234</v>
      </c>
      <c r="R65" s="83">
        <f t="shared" si="15"/>
        <v>3234</v>
      </c>
      <c r="S65" s="83">
        <f t="shared" si="33"/>
        <v>0</v>
      </c>
      <c r="T65" s="83">
        <f>IF($G$14=2,0.5*$E$16*IF(N65&lt;66,0,1)*IF(N65&gt;69,0,1),0)*IF($E$16&gt;0.5*$D$16,1,0)*IF('Case 1 Income'!$C$9=1,0,1)</f>
        <v>0</v>
      </c>
      <c r="U65" s="83">
        <f t="shared" si="34"/>
        <v>93</v>
      </c>
      <c r="V65" s="83">
        <f t="shared" si="35"/>
        <v>800</v>
      </c>
      <c r="W65" s="86">
        <f t="shared" si="44"/>
        <v>1225</v>
      </c>
      <c r="X65" s="86">
        <f t="shared" si="36"/>
        <v>1225</v>
      </c>
      <c r="Y65" s="86">
        <f t="shared" si="37"/>
        <v>1225</v>
      </c>
      <c r="Z65" s="86">
        <f t="shared" si="38"/>
        <v>1225</v>
      </c>
      <c r="AA65" s="86">
        <f t="shared" si="39"/>
        <v>1225</v>
      </c>
      <c r="AB65" s="86">
        <f t="shared" si="40"/>
        <v>1225</v>
      </c>
      <c r="AC65" s="83">
        <f t="shared" si="41"/>
        <v>1225</v>
      </c>
      <c r="AD65" s="83">
        <f t="shared" si="42"/>
        <v>3234</v>
      </c>
      <c r="AE65" s="83">
        <f>(IF(AC65&gt;AD65,AC65,AD65)-$H$20*IF(U65&lt;65,0,1)*IF(U65&gt;$E$17-1,0,1))*IF('Case 1 Income'!$C$9=1,0,1)</f>
        <v>3234</v>
      </c>
      <c r="AF65" s="5">
        <f t="shared" si="43"/>
        <v>0</v>
      </c>
      <c r="AG65" s="5">
        <f t="shared" si="45"/>
        <v>86</v>
      </c>
      <c r="AH65" s="5">
        <v>1.32</v>
      </c>
      <c r="AI65" s="5">
        <v>0.5</v>
      </c>
      <c r="AJ65" s="159">
        <v>1</v>
      </c>
      <c r="AK65" s="5"/>
    </row>
    <row r="66" spans="1:37" ht="14.25" hidden="1">
      <c r="A66" s="20"/>
      <c r="B66" s="24">
        <f t="shared" si="21"/>
        <v>0.47317638544517543</v>
      </c>
      <c r="C66" s="82">
        <f aca="true" t="shared" si="46" ref="C66:D81">C65+1</f>
        <v>77</v>
      </c>
      <c r="D66" s="82">
        <f t="shared" si="46"/>
        <v>74</v>
      </c>
      <c r="E66" s="79">
        <f t="shared" si="23"/>
        <v>3234</v>
      </c>
      <c r="F66" s="79">
        <f t="shared" si="24"/>
        <v>1225</v>
      </c>
      <c r="G66" s="79">
        <f t="shared" si="25"/>
        <v>0</v>
      </c>
      <c r="H66" s="79">
        <f t="shared" si="26"/>
        <v>0</v>
      </c>
      <c r="I66" s="79">
        <f t="shared" si="27"/>
        <v>0</v>
      </c>
      <c r="J66" s="79">
        <f t="shared" si="28"/>
        <v>0</v>
      </c>
      <c r="K66" s="80">
        <f t="shared" si="20"/>
        <v>53508</v>
      </c>
      <c r="L66" s="5"/>
      <c r="M66" s="5"/>
      <c r="N66" s="114">
        <f t="shared" si="29"/>
        <v>97</v>
      </c>
      <c r="O66" s="83">
        <f t="shared" si="30"/>
        <v>2842</v>
      </c>
      <c r="P66" s="83">
        <f t="shared" si="31"/>
        <v>3234</v>
      </c>
      <c r="Q66" s="132">
        <f t="shared" si="32"/>
        <v>3234</v>
      </c>
      <c r="R66" s="83">
        <f t="shared" si="15"/>
        <v>3234</v>
      </c>
      <c r="S66" s="83">
        <f t="shared" si="33"/>
        <v>0</v>
      </c>
      <c r="T66" s="83">
        <f>IF($G$14=2,0.5*$E$16*IF(N66&lt;66,0,1)*IF(N66&gt;69,0,1),0)*IF($E$16&gt;0.5*$D$16,1,0)*IF('Case 1 Income'!$C$9=1,0,1)</f>
        <v>0</v>
      </c>
      <c r="U66" s="83">
        <f t="shared" si="34"/>
        <v>94</v>
      </c>
      <c r="V66" s="83">
        <f t="shared" si="35"/>
        <v>800</v>
      </c>
      <c r="W66" s="86">
        <f t="shared" si="44"/>
        <v>1225</v>
      </c>
      <c r="X66" s="86">
        <f t="shared" si="36"/>
        <v>1225</v>
      </c>
      <c r="Y66" s="86">
        <f t="shared" si="37"/>
        <v>1225</v>
      </c>
      <c r="Z66" s="86">
        <f t="shared" si="38"/>
        <v>1225</v>
      </c>
      <c r="AA66" s="86">
        <f t="shared" si="39"/>
        <v>1225</v>
      </c>
      <c r="AB66" s="86">
        <f t="shared" si="40"/>
        <v>1225</v>
      </c>
      <c r="AC66" s="83">
        <f t="shared" si="41"/>
        <v>1225</v>
      </c>
      <c r="AD66" s="83">
        <f t="shared" si="42"/>
        <v>3234</v>
      </c>
      <c r="AE66" s="83">
        <f>(IF(AC66&gt;AD66,AC66,AD66)-$H$20*IF(U66&lt;65,0,1)*IF(U66&gt;$E$17-1,0,1))*IF('Case 1 Income'!$C$9=1,0,1)</f>
        <v>3234</v>
      </c>
      <c r="AF66" s="5">
        <f t="shared" si="43"/>
        <v>0</v>
      </c>
      <c r="AG66" s="5">
        <f t="shared" si="45"/>
        <v>87</v>
      </c>
      <c r="AH66" s="5">
        <v>1.32</v>
      </c>
      <c r="AI66" s="5">
        <v>0.5</v>
      </c>
      <c r="AJ66" s="159">
        <v>1</v>
      </c>
      <c r="AK66" s="5"/>
    </row>
    <row r="67" spans="1:37" ht="14.25" hidden="1">
      <c r="A67" s="20"/>
      <c r="B67" s="24">
        <f t="shared" si="21"/>
        <v>0.4528003688470579</v>
      </c>
      <c r="C67" s="82">
        <f t="shared" si="46"/>
        <v>78</v>
      </c>
      <c r="D67" s="82">
        <f t="shared" si="46"/>
        <v>75</v>
      </c>
      <c r="E67" s="79">
        <f t="shared" si="23"/>
        <v>3234</v>
      </c>
      <c r="F67" s="79">
        <f t="shared" si="24"/>
        <v>1225</v>
      </c>
      <c r="G67" s="79">
        <f t="shared" si="25"/>
        <v>0</v>
      </c>
      <c r="H67" s="79">
        <f t="shared" si="26"/>
        <v>0</v>
      </c>
      <c r="I67" s="79">
        <f t="shared" si="27"/>
        <v>0</v>
      </c>
      <c r="J67" s="79">
        <f t="shared" si="28"/>
        <v>0</v>
      </c>
      <c r="K67" s="80">
        <f t="shared" si="20"/>
        <v>53508</v>
      </c>
      <c r="L67" s="5"/>
      <c r="M67" s="5"/>
      <c r="N67" s="114">
        <f t="shared" si="29"/>
        <v>98</v>
      </c>
      <c r="O67" s="83">
        <f t="shared" si="30"/>
        <v>2842</v>
      </c>
      <c r="P67" s="83">
        <f t="shared" si="31"/>
        <v>3234</v>
      </c>
      <c r="Q67" s="132">
        <f t="shared" si="32"/>
        <v>3234</v>
      </c>
      <c r="R67" s="83">
        <f t="shared" si="15"/>
        <v>3234</v>
      </c>
      <c r="S67" s="83">
        <f t="shared" si="33"/>
        <v>0</v>
      </c>
      <c r="T67" s="83">
        <f>IF($G$14=2,0.5*$E$16*IF(N67&lt;66,0,1)*IF(N67&gt;69,0,1),0)*IF($E$16&gt;0.5*$D$16,1,0)*IF('Case 1 Income'!$C$9=1,0,1)</f>
        <v>0</v>
      </c>
      <c r="U67" s="83">
        <f t="shared" si="34"/>
        <v>95</v>
      </c>
      <c r="V67" s="83">
        <f t="shared" si="35"/>
        <v>800</v>
      </c>
      <c r="W67" s="86">
        <f t="shared" si="44"/>
        <v>1225</v>
      </c>
      <c r="X67" s="86">
        <f t="shared" si="36"/>
        <v>1225</v>
      </c>
      <c r="Y67" s="86">
        <f t="shared" si="37"/>
        <v>1225</v>
      </c>
      <c r="Z67" s="86">
        <f t="shared" si="38"/>
        <v>1225</v>
      </c>
      <c r="AA67" s="86">
        <f t="shared" si="39"/>
        <v>1225</v>
      </c>
      <c r="AB67" s="86">
        <f t="shared" si="40"/>
        <v>1225</v>
      </c>
      <c r="AC67" s="83">
        <f t="shared" si="41"/>
        <v>1225</v>
      </c>
      <c r="AD67" s="83">
        <f t="shared" si="42"/>
        <v>3234</v>
      </c>
      <c r="AE67" s="83">
        <f>(IF(AC67&gt;AD67,AC67,AD67)-$H$20*IF(U67&lt;65,0,1)*IF(U67&gt;$E$17-1,0,1))*IF('Case 1 Income'!$C$9=1,0,1)</f>
        <v>3234</v>
      </c>
      <c r="AF67" s="5">
        <f t="shared" si="43"/>
        <v>0</v>
      </c>
      <c r="AG67" s="5">
        <f t="shared" si="45"/>
        <v>88</v>
      </c>
      <c r="AH67" s="5">
        <v>1.32</v>
      </c>
      <c r="AI67" s="5">
        <v>0.5</v>
      </c>
      <c r="AJ67" s="159">
        <v>1</v>
      </c>
      <c r="AK67" s="5"/>
    </row>
    <row r="68" spans="1:37" ht="14.25" hidden="1">
      <c r="A68" s="20"/>
      <c r="B68" s="24">
        <f t="shared" si="21"/>
        <v>0.43330178837039035</v>
      </c>
      <c r="C68" s="82">
        <f t="shared" si="46"/>
        <v>79</v>
      </c>
      <c r="D68" s="82">
        <f t="shared" si="46"/>
        <v>76</v>
      </c>
      <c r="E68" s="79">
        <f t="shared" si="23"/>
        <v>3234</v>
      </c>
      <c r="F68" s="79">
        <f t="shared" si="24"/>
        <v>1225</v>
      </c>
      <c r="G68" s="79">
        <f t="shared" si="25"/>
        <v>0</v>
      </c>
      <c r="H68" s="79">
        <f t="shared" si="26"/>
        <v>0</v>
      </c>
      <c r="I68" s="79">
        <f t="shared" si="27"/>
        <v>0</v>
      </c>
      <c r="J68" s="79">
        <f t="shared" si="28"/>
        <v>0</v>
      </c>
      <c r="K68" s="80">
        <f t="shared" si="20"/>
        <v>53508</v>
      </c>
      <c r="L68" s="5"/>
      <c r="M68" s="5"/>
      <c r="N68" s="114">
        <f t="shared" si="29"/>
        <v>99</v>
      </c>
      <c r="O68" s="83">
        <f t="shared" si="30"/>
        <v>2842</v>
      </c>
      <c r="P68" s="83">
        <f t="shared" si="31"/>
        <v>3234</v>
      </c>
      <c r="Q68" s="132">
        <f t="shared" si="32"/>
        <v>3234</v>
      </c>
      <c r="R68" s="83">
        <f t="shared" si="15"/>
        <v>3234</v>
      </c>
      <c r="S68" s="83">
        <f t="shared" si="33"/>
        <v>0</v>
      </c>
      <c r="T68" s="83">
        <f>IF($G$14=2,0.5*$E$16*IF(N68&lt;66,0,1)*IF(N68&gt;69,0,1),0)*IF($E$16&gt;0.5*$D$16,1,0)*IF('Case 1 Income'!$C$9=1,0,1)</f>
        <v>0</v>
      </c>
      <c r="U68" s="83">
        <f t="shared" si="34"/>
        <v>96</v>
      </c>
      <c r="V68" s="83">
        <f t="shared" si="35"/>
        <v>800</v>
      </c>
      <c r="W68" s="86">
        <f t="shared" si="44"/>
        <v>1225</v>
      </c>
      <c r="X68" s="86">
        <f t="shared" si="36"/>
        <v>1225</v>
      </c>
      <c r="Y68" s="86">
        <f t="shared" si="37"/>
        <v>1225</v>
      </c>
      <c r="Z68" s="86">
        <f t="shared" si="38"/>
        <v>1225</v>
      </c>
      <c r="AA68" s="86">
        <f t="shared" si="39"/>
        <v>1225</v>
      </c>
      <c r="AB68" s="86">
        <f t="shared" si="40"/>
        <v>1225</v>
      </c>
      <c r="AC68" s="83">
        <f t="shared" si="41"/>
        <v>1225</v>
      </c>
      <c r="AD68" s="83">
        <f t="shared" si="42"/>
        <v>3234</v>
      </c>
      <c r="AE68" s="83">
        <f>(IF(AC68&gt;AD68,AC68,AD68)-$H$20*IF(U68&lt;65,0,1)*IF(U68&gt;$E$17-1,0,1))*IF('Case 1 Income'!$C$9=1,0,1)</f>
        <v>3234</v>
      </c>
      <c r="AF68" s="5">
        <f t="shared" si="43"/>
        <v>0</v>
      </c>
      <c r="AG68" s="5">
        <f t="shared" si="45"/>
        <v>89</v>
      </c>
      <c r="AH68" s="5">
        <v>1.32</v>
      </c>
      <c r="AI68" s="5">
        <v>0.5</v>
      </c>
      <c r="AJ68" s="159">
        <v>1</v>
      </c>
      <c r="AK68" s="5"/>
    </row>
    <row r="69" spans="1:37" ht="14.25" hidden="1">
      <c r="A69" s="20"/>
      <c r="B69" s="24">
        <f t="shared" si="21"/>
        <v>0.4146428596845841</v>
      </c>
      <c r="C69" s="82">
        <f t="shared" si="46"/>
        <v>80</v>
      </c>
      <c r="D69" s="82">
        <f t="shared" si="46"/>
        <v>77</v>
      </c>
      <c r="E69" s="79">
        <f t="shared" si="23"/>
        <v>0</v>
      </c>
      <c r="F69" s="79">
        <f t="shared" si="24"/>
        <v>3234</v>
      </c>
      <c r="G69" s="79">
        <f t="shared" si="25"/>
        <v>0</v>
      </c>
      <c r="H69" s="79">
        <f t="shared" si="26"/>
        <v>0</v>
      </c>
      <c r="I69" s="79">
        <f t="shared" si="27"/>
        <v>0</v>
      </c>
      <c r="J69" s="79">
        <f t="shared" si="28"/>
        <v>0</v>
      </c>
      <c r="K69" s="80">
        <f t="shared" si="20"/>
        <v>38808</v>
      </c>
      <c r="L69" s="5"/>
      <c r="M69" s="5"/>
      <c r="N69" s="114">
        <f t="shared" si="29"/>
        <v>100</v>
      </c>
      <c r="O69" s="83">
        <f t="shared" si="30"/>
        <v>2842</v>
      </c>
      <c r="P69" s="83">
        <f t="shared" si="31"/>
        <v>3234</v>
      </c>
      <c r="Q69" s="132">
        <f t="shared" si="32"/>
        <v>3234</v>
      </c>
      <c r="R69" s="83">
        <f t="shared" si="15"/>
        <v>3234</v>
      </c>
      <c r="S69" s="83">
        <f t="shared" si="33"/>
        <v>0</v>
      </c>
      <c r="T69" s="83">
        <f>IF($G$14=2,0.5*$E$16*IF(N69&lt;66,0,1)*IF(N69&gt;69,0,1),0)*IF($E$16&gt;0.5*$D$16,1,0)*IF('Case 1 Income'!$C$9=1,0,1)</f>
        <v>0</v>
      </c>
      <c r="U69" s="83">
        <f t="shared" si="34"/>
        <v>97</v>
      </c>
      <c r="V69" s="83">
        <f t="shared" si="35"/>
        <v>800</v>
      </c>
      <c r="W69" s="86">
        <f t="shared" si="44"/>
        <v>1225</v>
      </c>
      <c r="X69" s="86">
        <f t="shared" si="36"/>
        <v>1225</v>
      </c>
      <c r="Y69" s="86">
        <f t="shared" si="37"/>
        <v>1225</v>
      </c>
      <c r="Z69" s="86">
        <f t="shared" si="38"/>
        <v>1225</v>
      </c>
      <c r="AA69" s="86">
        <f t="shared" si="39"/>
        <v>1225</v>
      </c>
      <c r="AB69" s="86">
        <f t="shared" si="40"/>
        <v>1225</v>
      </c>
      <c r="AC69" s="83">
        <f t="shared" si="41"/>
        <v>1225</v>
      </c>
      <c r="AD69" s="83">
        <f t="shared" si="42"/>
        <v>3234</v>
      </c>
      <c r="AE69" s="83">
        <f>(IF(AC69&gt;AD69,AC69,AD69)-$H$20*IF(U69&lt;65,0,1)*IF(U69&gt;$E$17-1,0,1))*IF('Case 1 Income'!$C$9=1,0,1)</f>
        <v>3234</v>
      </c>
      <c r="AF69" s="5">
        <f t="shared" si="43"/>
        <v>0</v>
      </c>
      <c r="AG69" s="5">
        <f t="shared" si="45"/>
        <v>90</v>
      </c>
      <c r="AH69" s="5">
        <v>1.32</v>
      </c>
      <c r="AI69" s="5">
        <v>0.5</v>
      </c>
      <c r="AJ69" s="159">
        <v>1</v>
      </c>
      <c r="AK69" s="5"/>
    </row>
    <row r="70" spans="1:37" ht="14.25" hidden="1">
      <c r="A70" s="20"/>
      <c r="B70" s="24">
        <f t="shared" si="21"/>
        <v>0.3967874255354872</v>
      </c>
      <c r="C70" s="82">
        <f t="shared" si="46"/>
        <v>81</v>
      </c>
      <c r="D70" s="82">
        <f t="shared" si="46"/>
        <v>78</v>
      </c>
      <c r="E70" s="79">
        <f t="shared" si="23"/>
        <v>0</v>
      </c>
      <c r="F70" s="79">
        <f t="shared" si="24"/>
        <v>3234</v>
      </c>
      <c r="G70" s="79">
        <f t="shared" si="25"/>
        <v>0</v>
      </c>
      <c r="H70" s="79">
        <f t="shared" si="26"/>
        <v>0</v>
      </c>
      <c r="I70" s="79">
        <f t="shared" si="27"/>
        <v>0</v>
      </c>
      <c r="J70" s="79">
        <f t="shared" si="28"/>
        <v>0</v>
      </c>
      <c r="K70" s="80">
        <f t="shared" si="20"/>
        <v>38808</v>
      </c>
      <c r="L70" s="5"/>
      <c r="M70" s="5"/>
      <c r="N70" s="114">
        <f t="shared" si="29"/>
        <v>101</v>
      </c>
      <c r="O70" s="83">
        <f t="shared" si="30"/>
        <v>2842</v>
      </c>
      <c r="P70" s="83">
        <f t="shared" si="31"/>
        <v>3234</v>
      </c>
      <c r="Q70" s="132">
        <f t="shared" si="32"/>
        <v>3234</v>
      </c>
      <c r="R70" s="83">
        <f t="shared" si="15"/>
        <v>3234</v>
      </c>
      <c r="S70" s="83">
        <f t="shared" si="33"/>
        <v>0</v>
      </c>
      <c r="T70" s="83">
        <f>IF($G$14=2,0.5*$E$16*IF(N70&lt;66,0,1)*IF(N70&gt;69,0,1),0)*IF($E$16&gt;0.5*$D$16,1,0)*IF('Case 1 Income'!$C$9=1,0,1)</f>
        <v>0</v>
      </c>
      <c r="U70" s="83">
        <f t="shared" si="34"/>
        <v>98</v>
      </c>
      <c r="V70" s="83">
        <f t="shared" si="35"/>
        <v>800</v>
      </c>
      <c r="W70" s="86">
        <f t="shared" si="44"/>
        <v>1225</v>
      </c>
      <c r="X70" s="86">
        <f t="shared" si="36"/>
        <v>1225</v>
      </c>
      <c r="Y70" s="86">
        <f t="shared" si="37"/>
        <v>1225</v>
      </c>
      <c r="Z70" s="86">
        <f t="shared" si="38"/>
        <v>1225</v>
      </c>
      <c r="AA70" s="86">
        <f t="shared" si="39"/>
        <v>1225</v>
      </c>
      <c r="AB70" s="86">
        <f t="shared" si="40"/>
        <v>1225</v>
      </c>
      <c r="AC70" s="83">
        <f t="shared" si="41"/>
        <v>1225</v>
      </c>
      <c r="AD70" s="83">
        <f t="shared" si="42"/>
        <v>3234</v>
      </c>
      <c r="AE70" s="83">
        <f>(IF(AC70&gt;AD70,AC70,AD70)-$H$20*IF(U70&lt;65,0,1)*IF(U70&gt;$E$17-1,0,1))*IF('Case 1 Income'!$C$9=1,0,1)</f>
        <v>3234</v>
      </c>
      <c r="AF70" s="5">
        <f t="shared" si="43"/>
        <v>0</v>
      </c>
      <c r="AG70" s="5">
        <f t="shared" si="45"/>
        <v>91</v>
      </c>
      <c r="AH70" s="5">
        <v>1.32</v>
      </c>
      <c r="AI70" s="5">
        <v>0.5</v>
      </c>
      <c r="AJ70" s="159">
        <v>1</v>
      </c>
      <c r="AK70" s="5"/>
    </row>
    <row r="71" spans="1:37" ht="14.25" hidden="1">
      <c r="A71" s="20"/>
      <c r="B71" s="24">
        <f t="shared" si="21"/>
        <v>0.3797008856798921</v>
      </c>
      <c r="C71" s="82">
        <f t="shared" si="46"/>
        <v>82</v>
      </c>
      <c r="D71" s="82">
        <f t="shared" si="46"/>
        <v>79</v>
      </c>
      <c r="E71" s="79">
        <f t="shared" si="23"/>
        <v>0</v>
      </c>
      <c r="F71" s="79">
        <f t="shared" si="24"/>
        <v>3234</v>
      </c>
      <c r="G71" s="79">
        <f t="shared" si="25"/>
        <v>0</v>
      </c>
      <c r="H71" s="79">
        <f t="shared" si="26"/>
        <v>0</v>
      </c>
      <c r="I71" s="79">
        <f t="shared" si="27"/>
        <v>0</v>
      </c>
      <c r="J71" s="79">
        <f t="shared" si="28"/>
        <v>0</v>
      </c>
      <c r="K71" s="80">
        <f t="shared" si="20"/>
        <v>38808</v>
      </c>
      <c r="L71" s="5"/>
      <c r="M71" s="5"/>
      <c r="N71" s="114">
        <f t="shared" si="29"/>
        <v>102</v>
      </c>
      <c r="O71" s="83">
        <f t="shared" si="30"/>
        <v>2842</v>
      </c>
      <c r="P71" s="83">
        <f t="shared" si="31"/>
        <v>3234</v>
      </c>
      <c r="Q71" s="132">
        <f t="shared" si="32"/>
        <v>3234</v>
      </c>
      <c r="R71" s="83">
        <f t="shared" si="15"/>
        <v>3234</v>
      </c>
      <c r="S71" s="83">
        <f t="shared" si="33"/>
        <v>0</v>
      </c>
      <c r="T71" s="83">
        <f>IF($G$14=2,0.5*$E$16*IF(N71&lt;66,0,1)*IF(N71&gt;69,0,1),0)*IF($E$16&gt;0.5*$D$16,1,0)*IF('Case 1 Income'!$C$9=1,0,1)</f>
        <v>0</v>
      </c>
      <c r="U71" s="83">
        <f t="shared" si="34"/>
        <v>99</v>
      </c>
      <c r="V71" s="83">
        <f t="shared" si="35"/>
        <v>800</v>
      </c>
      <c r="W71" s="86">
        <f t="shared" si="44"/>
        <v>1225</v>
      </c>
      <c r="X71" s="86">
        <f t="shared" si="36"/>
        <v>1225</v>
      </c>
      <c r="Y71" s="86">
        <f t="shared" si="37"/>
        <v>1225</v>
      </c>
      <c r="Z71" s="86">
        <f t="shared" si="38"/>
        <v>1225</v>
      </c>
      <c r="AA71" s="86">
        <f t="shared" si="39"/>
        <v>1225</v>
      </c>
      <c r="AB71" s="86">
        <f t="shared" si="40"/>
        <v>1225</v>
      </c>
      <c r="AC71" s="83">
        <f t="shared" si="41"/>
        <v>1225</v>
      </c>
      <c r="AD71" s="83">
        <f t="shared" si="42"/>
        <v>3234</v>
      </c>
      <c r="AE71" s="83">
        <f>(IF(AC71&gt;AD71,AC71,AD71)-$H$20*IF(U71&lt;65,0,1)*IF(U71&gt;$E$17-1,0,1))*IF('Case 1 Income'!$C$9=1,0,1)</f>
        <v>3234</v>
      </c>
      <c r="AF71" s="5">
        <f t="shared" si="43"/>
        <v>0</v>
      </c>
      <c r="AG71" s="5">
        <f t="shared" si="45"/>
        <v>92</v>
      </c>
      <c r="AH71" s="5">
        <v>1.32</v>
      </c>
      <c r="AI71" s="5">
        <v>0.5</v>
      </c>
      <c r="AJ71" s="159">
        <v>1</v>
      </c>
      <c r="AK71" s="5"/>
    </row>
    <row r="72" spans="1:37" ht="14.25" hidden="1">
      <c r="A72" s="20"/>
      <c r="B72" s="24">
        <f t="shared" si="21"/>
        <v>0.3633501298372173</v>
      </c>
      <c r="C72" s="82">
        <f t="shared" si="46"/>
        <v>83</v>
      </c>
      <c r="D72" s="82">
        <f t="shared" si="46"/>
        <v>80</v>
      </c>
      <c r="E72" s="79">
        <f t="shared" si="23"/>
        <v>0</v>
      </c>
      <c r="F72" s="79">
        <f t="shared" si="24"/>
        <v>3234</v>
      </c>
      <c r="G72" s="79">
        <f t="shared" si="25"/>
        <v>0</v>
      </c>
      <c r="H72" s="79">
        <f t="shared" si="26"/>
        <v>0</v>
      </c>
      <c r="I72" s="79">
        <f t="shared" si="27"/>
        <v>0</v>
      </c>
      <c r="J72" s="79">
        <f t="shared" si="28"/>
        <v>0</v>
      </c>
      <c r="K72" s="80">
        <f t="shared" si="20"/>
        <v>38808</v>
      </c>
      <c r="L72" s="5"/>
      <c r="M72" s="5"/>
      <c r="N72" s="114">
        <f t="shared" si="29"/>
        <v>103</v>
      </c>
      <c r="O72" s="83">
        <f t="shared" si="30"/>
        <v>2842</v>
      </c>
      <c r="P72" s="83">
        <f t="shared" si="31"/>
        <v>3234</v>
      </c>
      <c r="Q72" s="132">
        <f t="shared" si="32"/>
        <v>3234</v>
      </c>
      <c r="R72" s="83">
        <f t="shared" si="15"/>
        <v>3234</v>
      </c>
      <c r="S72" s="83">
        <f t="shared" si="33"/>
        <v>0</v>
      </c>
      <c r="T72" s="83">
        <f>IF($G$14=2,0.5*$E$16*IF(N72&lt;66,0,1)*IF(N72&gt;69,0,1),0)*IF($E$16&gt;0.5*$D$16,1,0)*IF('Case 1 Income'!$C$9=1,0,1)</f>
        <v>0</v>
      </c>
      <c r="U72" s="83">
        <f t="shared" si="34"/>
        <v>100</v>
      </c>
      <c r="V72" s="83">
        <f t="shared" si="35"/>
        <v>800</v>
      </c>
      <c r="W72" s="86">
        <f t="shared" si="44"/>
        <v>1225</v>
      </c>
      <c r="X72" s="86">
        <f t="shared" si="36"/>
        <v>1225</v>
      </c>
      <c r="Y72" s="86">
        <f t="shared" si="37"/>
        <v>1225</v>
      </c>
      <c r="Z72" s="86">
        <f t="shared" si="38"/>
        <v>1225</v>
      </c>
      <c r="AA72" s="86">
        <f t="shared" si="39"/>
        <v>1225</v>
      </c>
      <c r="AB72" s="86">
        <f t="shared" si="40"/>
        <v>1225</v>
      </c>
      <c r="AC72" s="83">
        <f t="shared" si="41"/>
        <v>1225</v>
      </c>
      <c r="AD72" s="83">
        <f t="shared" si="42"/>
        <v>3234</v>
      </c>
      <c r="AE72" s="83">
        <f>(IF(AC72&gt;AD72,AC72,AD72)-$H$20*IF(U72&lt;65,0,1)*IF(U72&gt;$E$17-1,0,1))*IF('Case 1 Income'!$C$9=1,0,1)</f>
        <v>3234</v>
      </c>
      <c r="AF72" s="5">
        <f t="shared" si="43"/>
        <v>0</v>
      </c>
      <c r="AG72" s="5">
        <f t="shared" si="45"/>
        <v>93</v>
      </c>
      <c r="AH72" s="5">
        <v>1.32</v>
      </c>
      <c r="AI72" s="5">
        <v>0.5</v>
      </c>
      <c r="AJ72" s="159">
        <v>1</v>
      </c>
      <c r="AK72" s="5"/>
    </row>
    <row r="73" spans="1:37" ht="14.25" hidden="1">
      <c r="A73" s="20"/>
      <c r="B73" s="24">
        <f t="shared" si="21"/>
        <v>0.34770347352843767</v>
      </c>
      <c r="C73" s="82">
        <f t="shared" si="46"/>
        <v>84</v>
      </c>
      <c r="D73" s="82">
        <f t="shared" si="46"/>
        <v>81</v>
      </c>
      <c r="E73" s="79">
        <f t="shared" si="23"/>
        <v>0</v>
      </c>
      <c r="F73" s="79">
        <f t="shared" si="24"/>
        <v>3234</v>
      </c>
      <c r="G73" s="79">
        <f t="shared" si="25"/>
        <v>0</v>
      </c>
      <c r="H73" s="79">
        <f t="shared" si="26"/>
        <v>0</v>
      </c>
      <c r="I73" s="79">
        <f t="shared" si="27"/>
        <v>0</v>
      </c>
      <c r="J73" s="79">
        <f t="shared" si="28"/>
        <v>0</v>
      </c>
      <c r="K73" s="80">
        <f t="shared" si="20"/>
        <v>38808</v>
      </c>
      <c r="L73" s="5"/>
      <c r="M73" s="5"/>
      <c r="N73" s="114">
        <f t="shared" si="29"/>
        <v>104</v>
      </c>
      <c r="O73" s="83">
        <f t="shared" si="30"/>
        <v>2842</v>
      </c>
      <c r="P73" s="83">
        <f t="shared" si="31"/>
        <v>3234</v>
      </c>
      <c r="Q73" s="132">
        <f t="shared" si="32"/>
        <v>3234</v>
      </c>
      <c r="R73" s="83">
        <f t="shared" si="15"/>
        <v>3234</v>
      </c>
      <c r="S73" s="83">
        <f t="shared" si="33"/>
        <v>0</v>
      </c>
      <c r="T73" s="83">
        <f>IF($G$14=2,0.5*$E$16*IF(N73&lt;66,0,1)*IF(N73&gt;69,0,1),0)*IF($E$16&gt;0.5*$D$16,1,0)*IF('Case 1 Income'!$C$9=1,0,1)</f>
        <v>0</v>
      </c>
      <c r="U73" s="83">
        <f t="shared" si="34"/>
        <v>101</v>
      </c>
      <c r="V73" s="83">
        <f t="shared" si="35"/>
        <v>800</v>
      </c>
      <c r="W73" s="86">
        <f t="shared" si="44"/>
        <v>1225</v>
      </c>
      <c r="X73" s="86">
        <f t="shared" si="36"/>
        <v>1225</v>
      </c>
      <c r="Y73" s="86">
        <f t="shared" si="37"/>
        <v>1225</v>
      </c>
      <c r="Z73" s="86">
        <f t="shared" si="38"/>
        <v>1225</v>
      </c>
      <c r="AA73" s="86">
        <f t="shared" si="39"/>
        <v>1225</v>
      </c>
      <c r="AB73" s="86">
        <f t="shared" si="40"/>
        <v>1225</v>
      </c>
      <c r="AC73" s="83">
        <f t="shared" si="41"/>
        <v>1225</v>
      </c>
      <c r="AD73" s="83">
        <f t="shared" si="42"/>
        <v>3234</v>
      </c>
      <c r="AE73" s="83">
        <f>(IF(AC73&gt;AD73,AC73,AD73)-$H$20*IF(U73&lt;65,0,1)*IF(U73&gt;$E$17-1,0,1))*IF('Case 1 Income'!$C$9=1,0,1)</f>
        <v>3234</v>
      </c>
      <c r="AF73" s="5">
        <f t="shared" si="43"/>
        <v>0</v>
      </c>
      <c r="AG73" s="5">
        <f t="shared" si="45"/>
        <v>94</v>
      </c>
      <c r="AH73" s="5">
        <v>1.32</v>
      </c>
      <c r="AI73" s="5">
        <v>0.5</v>
      </c>
      <c r="AJ73" s="159">
        <v>1</v>
      </c>
      <c r="AK73" s="5"/>
    </row>
    <row r="74" spans="1:37" ht="14.25" hidden="1">
      <c r="A74" s="20"/>
      <c r="B74" s="24">
        <f t="shared" si="21"/>
        <v>0.3327305966779308</v>
      </c>
      <c r="C74" s="82">
        <f t="shared" si="46"/>
        <v>85</v>
      </c>
      <c r="D74" s="82">
        <f t="shared" si="46"/>
        <v>82</v>
      </c>
      <c r="E74" s="79">
        <f t="shared" si="23"/>
        <v>0</v>
      </c>
      <c r="F74" s="79">
        <f t="shared" si="24"/>
        <v>3234</v>
      </c>
      <c r="G74" s="79">
        <f t="shared" si="25"/>
        <v>0</v>
      </c>
      <c r="H74" s="79">
        <f t="shared" si="26"/>
        <v>0</v>
      </c>
      <c r="I74" s="79">
        <f t="shared" si="27"/>
        <v>0</v>
      </c>
      <c r="J74" s="79">
        <f t="shared" si="28"/>
        <v>0</v>
      </c>
      <c r="K74" s="80">
        <f t="shared" si="20"/>
        <v>38808</v>
      </c>
      <c r="L74" s="5"/>
      <c r="M74" s="5"/>
      <c r="N74" s="166">
        <f t="shared" si="29"/>
        <v>105</v>
      </c>
      <c r="O74" s="86">
        <f t="shared" si="30"/>
        <v>2842</v>
      </c>
      <c r="P74" s="86">
        <f t="shared" si="31"/>
        <v>3234</v>
      </c>
      <c r="Q74" s="132">
        <f t="shared" si="32"/>
        <v>3234</v>
      </c>
      <c r="R74" s="83">
        <f t="shared" si="15"/>
        <v>3234</v>
      </c>
      <c r="S74" s="83">
        <f t="shared" si="33"/>
        <v>0</v>
      </c>
      <c r="T74" s="83">
        <f>IF($G$14=2,0.5*$E$16*IF(N74&lt;66,0,1)*IF(N74&gt;69,0,1),0)*IF($E$16&gt;0.5*$D$16,1,0)*IF('Case 1 Income'!$C$9=1,0,1)</f>
        <v>0</v>
      </c>
      <c r="U74" s="86">
        <f t="shared" si="34"/>
        <v>102</v>
      </c>
      <c r="V74" s="86">
        <f t="shared" si="35"/>
        <v>800</v>
      </c>
      <c r="W74" s="86">
        <f t="shared" si="44"/>
        <v>1225</v>
      </c>
      <c r="X74" s="86">
        <f t="shared" si="36"/>
        <v>1225</v>
      </c>
      <c r="Y74" s="86">
        <f t="shared" si="37"/>
        <v>1225</v>
      </c>
      <c r="Z74" s="86">
        <f t="shared" si="38"/>
        <v>1225</v>
      </c>
      <c r="AA74" s="86">
        <f t="shared" si="39"/>
        <v>1225</v>
      </c>
      <c r="AB74" s="86">
        <f t="shared" si="40"/>
        <v>1225</v>
      </c>
      <c r="AC74" s="86">
        <f t="shared" si="41"/>
        <v>1225</v>
      </c>
      <c r="AD74" s="86">
        <f t="shared" si="42"/>
        <v>3234</v>
      </c>
      <c r="AE74" s="83">
        <f>(IF(AC74&gt;AD74,AC74,AD74)-$H$20*IF(U74&lt;65,0,1)*IF(U74&gt;$E$17-1,0,1))*IF('Case 1 Income'!$C$9=1,0,1)</f>
        <v>3234</v>
      </c>
      <c r="AF74" s="5">
        <f t="shared" si="43"/>
        <v>0</v>
      </c>
      <c r="AG74" s="7">
        <f t="shared" si="45"/>
        <v>95</v>
      </c>
      <c r="AH74" s="7">
        <v>1.32</v>
      </c>
      <c r="AI74" s="7">
        <v>0.5</v>
      </c>
      <c r="AJ74" s="167">
        <v>1</v>
      </c>
      <c r="AK74" s="5"/>
    </row>
    <row r="75" spans="1:37" ht="14.25" hidden="1">
      <c r="A75" s="20"/>
      <c r="B75" s="24">
        <f t="shared" si="21"/>
        <v>0.318402484859264</v>
      </c>
      <c r="C75" s="82">
        <f t="shared" si="46"/>
        <v>86</v>
      </c>
      <c r="D75" s="82">
        <f t="shared" si="46"/>
        <v>83</v>
      </c>
      <c r="E75" s="79">
        <f t="shared" si="23"/>
        <v>0</v>
      </c>
      <c r="F75" s="79">
        <f t="shared" si="24"/>
        <v>3234</v>
      </c>
      <c r="G75" s="79">
        <f t="shared" si="25"/>
        <v>0</v>
      </c>
      <c r="H75" s="79">
        <f t="shared" si="26"/>
        <v>0</v>
      </c>
      <c r="I75" s="79">
        <f t="shared" si="27"/>
        <v>0</v>
      </c>
      <c r="J75" s="79">
        <f t="shared" si="28"/>
        <v>0</v>
      </c>
      <c r="K75" s="80">
        <f t="shared" si="20"/>
        <v>38808</v>
      </c>
      <c r="L75" s="5"/>
      <c r="M75" s="5"/>
      <c r="N75" s="166">
        <f t="shared" si="29"/>
        <v>106</v>
      </c>
      <c r="O75" s="86">
        <f t="shared" si="30"/>
        <v>2842</v>
      </c>
      <c r="P75" s="86">
        <f t="shared" si="31"/>
        <v>3234</v>
      </c>
      <c r="Q75" s="132">
        <f t="shared" si="32"/>
        <v>3234</v>
      </c>
      <c r="R75" s="83">
        <f t="shared" si="15"/>
        <v>3234</v>
      </c>
      <c r="S75" s="83">
        <f t="shared" si="33"/>
        <v>0</v>
      </c>
      <c r="T75" s="83">
        <f>IF($G$14=2,0.5*$E$16*IF(N75&lt;66,0,1)*IF(N75&gt;69,0,1),0)*IF($E$16&gt;0.5*$D$16,1,0)*IF('Case 1 Income'!$C$9=1,0,1)</f>
        <v>0</v>
      </c>
      <c r="U75" s="86">
        <f t="shared" si="34"/>
        <v>103</v>
      </c>
      <c r="V75" s="86">
        <f t="shared" si="35"/>
        <v>800</v>
      </c>
      <c r="W75" s="86">
        <f t="shared" si="44"/>
        <v>1225</v>
      </c>
      <c r="X75" s="86">
        <f t="shared" si="36"/>
        <v>1225</v>
      </c>
      <c r="Y75" s="86">
        <f t="shared" si="37"/>
        <v>1225</v>
      </c>
      <c r="Z75" s="86">
        <f t="shared" si="38"/>
        <v>1225</v>
      </c>
      <c r="AA75" s="86">
        <f t="shared" si="39"/>
        <v>1225</v>
      </c>
      <c r="AB75" s="86">
        <f t="shared" si="40"/>
        <v>1225</v>
      </c>
      <c r="AC75" s="86">
        <f t="shared" si="41"/>
        <v>1225</v>
      </c>
      <c r="AD75" s="86">
        <f t="shared" si="42"/>
        <v>3234</v>
      </c>
      <c r="AE75" s="83">
        <f>(IF(AC75&gt;AD75,AC75,AD75)-$H$20*IF(U75&lt;65,0,1)*IF(U75&gt;$E$17-1,0,1))*IF('Case 1 Income'!$C$9=1,0,1)</f>
        <v>3234</v>
      </c>
      <c r="AF75" s="5">
        <f t="shared" si="43"/>
        <v>0</v>
      </c>
      <c r="AG75" s="7">
        <f t="shared" si="45"/>
        <v>96</v>
      </c>
      <c r="AH75" s="7">
        <v>1.32</v>
      </c>
      <c r="AI75" s="7">
        <v>0.5</v>
      </c>
      <c r="AJ75" s="167">
        <v>1</v>
      </c>
      <c r="AK75" s="7"/>
    </row>
    <row r="76" spans="1:37" ht="14.25" hidden="1">
      <c r="A76" s="20"/>
      <c r="B76" s="24">
        <f t="shared" si="21"/>
        <v>0.30469137307106603</v>
      </c>
      <c r="C76" s="82">
        <f t="shared" si="46"/>
        <v>87</v>
      </c>
      <c r="D76" s="82">
        <f t="shared" si="46"/>
        <v>84</v>
      </c>
      <c r="E76" s="79">
        <f t="shared" si="23"/>
        <v>0</v>
      </c>
      <c r="F76" s="79">
        <f t="shared" si="24"/>
        <v>3234</v>
      </c>
      <c r="G76" s="79">
        <f t="shared" si="25"/>
        <v>0</v>
      </c>
      <c r="H76" s="79">
        <f t="shared" si="26"/>
        <v>0</v>
      </c>
      <c r="I76" s="79">
        <f t="shared" si="27"/>
        <v>0</v>
      </c>
      <c r="J76" s="79">
        <f t="shared" si="28"/>
        <v>0</v>
      </c>
      <c r="K76" s="80">
        <f t="shared" si="20"/>
        <v>38808</v>
      </c>
      <c r="L76" s="5"/>
      <c r="M76" s="5"/>
      <c r="N76" s="166">
        <f t="shared" si="29"/>
        <v>107</v>
      </c>
      <c r="O76" s="86">
        <f t="shared" si="30"/>
        <v>2842</v>
      </c>
      <c r="P76" s="86">
        <f t="shared" si="31"/>
        <v>3234</v>
      </c>
      <c r="Q76" s="132">
        <f t="shared" si="32"/>
        <v>3234</v>
      </c>
      <c r="R76" s="83">
        <f t="shared" si="15"/>
        <v>3234</v>
      </c>
      <c r="S76" s="83">
        <f t="shared" si="33"/>
        <v>0</v>
      </c>
      <c r="T76" s="83">
        <f>IF($G$14=2,0.5*$E$16*IF(N76&lt;66,0,1)*IF(N76&gt;69,0,1),0)*IF($E$16&gt;0.5*$D$16,1,0)*IF('Case 1 Income'!$C$9=1,0,1)</f>
        <v>0</v>
      </c>
      <c r="U76" s="86">
        <f t="shared" si="34"/>
        <v>104</v>
      </c>
      <c r="V76" s="86">
        <f t="shared" si="35"/>
        <v>800</v>
      </c>
      <c r="W76" s="86">
        <f t="shared" si="44"/>
        <v>1225</v>
      </c>
      <c r="X76" s="86">
        <f t="shared" si="36"/>
        <v>1225</v>
      </c>
      <c r="Y76" s="86">
        <f t="shared" si="37"/>
        <v>1225</v>
      </c>
      <c r="Z76" s="86">
        <f t="shared" si="38"/>
        <v>1225</v>
      </c>
      <c r="AA76" s="86">
        <f t="shared" si="39"/>
        <v>1225</v>
      </c>
      <c r="AB76" s="86">
        <f t="shared" si="40"/>
        <v>1225</v>
      </c>
      <c r="AC76" s="86">
        <f t="shared" si="41"/>
        <v>1225</v>
      </c>
      <c r="AD76" s="86">
        <f t="shared" si="42"/>
        <v>3234</v>
      </c>
      <c r="AE76" s="83">
        <f>(IF(AC76&gt;AD76,AC76,AD76)-$H$20*IF(U76&lt;65,0,1)*IF(U76&gt;$E$17-1,0,1))*IF('Case 1 Income'!$C$9=1,0,1)</f>
        <v>3234</v>
      </c>
      <c r="AF76" s="5">
        <f t="shared" si="43"/>
        <v>0</v>
      </c>
      <c r="AG76" s="7">
        <f t="shared" si="45"/>
        <v>97</v>
      </c>
      <c r="AH76" s="7">
        <v>1.32</v>
      </c>
      <c r="AI76" s="7">
        <v>0.5</v>
      </c>
      <c r="AJ76" s="167">
        <v>1</v>
      </c>
      <c r="AK76" s="7"/>
    </row>
    <row r="77" spans="1:37" ht="14.25" hidden="1">
      <c r="A77" s="20"/>
      <c r="B77" s="24">
        <f t="shared" si="21"/>
        <v>0.2915706919340345</v>
      </c>
      <c r="C77" s="82">
        <f t="shared" si="46"/>
        <v>88</v>
      </c>
      <c r="D77" s="82">
        <f t="shared" si="46"/>
        <v>85</v>
      </c>
      <c r="E77" s="79">
        <f t="shared" si="23"/>
        <v>0</v>
      </c>
      <c r="F77" s="79">
        <f t="shared" si="24"/>
        <v>3234</v>
      </c>
      <c r="G77" s="79">
        <f t="shared" si="25"/>
        <v>0</v>
      </c>
      <c r="H77" s="79">
        <f t="shared" si="26"/>
        <v>0</v>
      </c>
      <c r="I77" s="79">
        <f t="shared" si="27"/>
        <v>0</v>
      </c>
      <c r="J77" s="79">
        <f t="shared" si="28"/>
        <v>0</v>
      </c>
      <c r="K77" s="80">
        <f t="shared" si="20"/>
        <v>38808</v>
      </c>
      <c r="L77" s="5"/>
      <c r="M77" s="5"/>
      <c r="N77" s="166">
        <f t="shared" si="29"/>
        <v>108</v>
      </c>
      <c r="O77" s="86">
        <f t="shared" si="30"/>
        <v>2842</v>
      </c>
      <c r="P77" s="86">
        <f t="shared" si="31"/>
        <v>3234</v>
      </c>
      <c r="Q77" s="132">
        <f t="shared" si="32"/>
        <v>3234</v>
      </c>
      <c r="R77" s="83">
        <f t="shared" si="15"/>
        <v>3234</v>
      </c>
      <c r="S77" s="83">
        <f t="shared" si="33"/>
        <v>0</v>
      </c>
      <c r="T77" s="83">
        <f>IF($G$14=2,0.5*$E$16*IF(N77&lt;66,0,1)*IF(N77&gt;69,0,1),0)*IF($E$16&gt;0.5*$D$16,1,0)*IF('Case 1 Income'!$C$9=1,0,1)</f>
        <v>0</v>
      </c>
      <c r="U77" s="86">
        <f t="shared" si="34"/>
        <v>105</v>
      </c>
      <c r="V77" s="86">
        <f t="shared" si="35"/>
        <v>800</v>
      </c>
      <c r="W77" s="86">
        <f t="shared" si="44"/>
        <v>1225</v>
      </c>
      <c r="X77" s="86">
        <f t="shared" si="36"/>
        <v>1225</v>
      </c>
      <c r="Y77" s="86">
        <f t="shared" si="37"/>
        <v>1225</v>
      </c>
      <c r="Z77" s="86">
        <f t="shared" si="38"/>
        <v>1225</v>
      </c>
      <c r="AA77" s="86">
        <f t="shared" si="39"/>
        <v>1225</v>
      </c>
      <c r="AB77" s="86">
        <f t="shared" si="40"/>
        <v>1225</v>
      </c>
      <c r="AC77" s="86">
        <f t="shared" si="41"/>
        <v>1225</v>
      </c>
      <c r="AD77" s="86">
        <f t="shared" si="42"/>
        <v>3234</v>
      </c>
      <c r="AE77" s="83">
        <f>(IF(AC77&gt;AD77,AC77,AD77)-$H$20*IF(U77&lt;65,0,1)*IF(U77&gt;$E$17-1,0,1))*IF('Case 1 Income'!$C$9=1,0,1)</f>
        <v>3234</v>
      </c>
      <c r="AF77" s="5">
        <f t="shared" si="43"/>
        <v>0</v>
      </c>
      <c r="AG77" s="7">
        <f t="shared" si="45"/>
        <v>98</v>
      </c>
      <c r="AH77" s="7">
        <v>1.32</v>
      </c>
      <c r="AI77" s="7">
        <v>0.5</v>
      </c>
      <c r="AJ77" s="167">
        <v>1</v>
      </c>
      <c r="AK77" s="7"/>
    </row>
    <row r="78" spans="1:37" ht="14.25" hidden="1">
      <c r="A78" s="20"/>
      <c r="B78" s="24">
        <f t="shared" si="21"/>
        <v>0.2790150162048177</v>
      </c>
      <c r="C78" s="82">
        <f t="shared" si="46"/>
        <v>89</v>
      </c>
      <c r="D78" s="82">
        <f t="shared" si="46"/>
        <v>86</v>
      </c>
      <c r="E78" s="79">
        <f t="shared" si="23"/>
        <v>0</v>
      </c>
      <c r="F78" s="79">
        <f t="shared" si="24"/>
        <v>3234</v>
      </c>
      <c r="G78" s="79">
        <f t="shared" si="25"/>
        <v>0</v>
      </c>
      <c r="H78" s="79">
        <f t="shared" si="26"/>
        <v>0</v>
      </c>
      <c r="I78" s="79">
        <f t="shared" si="27"/>
        <v>0</v>
      </c>
      <c r="J78" s="79">
        <f t="shared" si="28"/>
        <v>0</v>
      </c>
      <c r="K78" s="80">
        <f t="shared" si="20"/>
        <v>38808</v>
      </c>
      <c r="L78" s="5"/>
      <c r="M78" s="5"/>
      <c r="N78" s="166">
        <f t="shared" si="29"/>
        <v>109</v>
      </c>
      <c r="O78" s="86">
        <f t="shared" si="30"/>
        <v>2842</v>
      </c>
      <c r="P78" s="86">
        <f t="shared" si="31"/>
        <v>3234</v>
      </c>
      <c r="Q78" s="132">
        <f t="shared" si="32"/>
        <v>3234</v>
      </c>
      <c r="R78" s="83">
        <f t="shared" si="15"/>
        <v>3234</v>
      </c>
      <c r="S78" s="83">
        <f t="shared" si="33"/>
        <v>0</v>
      </c>
      <c r="T78" s="83">
        <f>IF($G$14=2,0.5*$E$16*IF(N78&lt;66,0,1)*IF(N78&gt;69,0,1),0)*IF($E$16&gt;0.5*$D$16,1,0)*IF('Case 1 Income'!$C$9=1,0,1)</f>
        <v>0</v>
      </c>
      <c r="U78" s="86">
        <f t="shared" si="34"/>
        <v>106</v>
      </c>
      <c r="V78" s="86">
        <f t="shared" si="35"/>
        <v>800</v>
      </c>
      <c r="W78" s="86">
        <f t="shared" si="44"/>
        <v>1225</v>
      </c>
      <c r="X78" s="86">
        <f t="shared" si="36"/>
        <v>1225</v>
      </c>
      <c r="Y78" s="86">
        <f t="shared" si="37"/>
        <v>1225</v>
      </c>
      <c r="Z78" s="86">
        <f t="shared" si="38"/>
        <v>1225</v>
      </c>
      <c r="AA78" s="86">
        <f t="shared" si="39"/>
        <v>1225</v>
      </c>
      <c r="AB78" s="86">
        <f t="shared" si="40"/>
        <v>1225</v>
      </c>
      <c r="AC78" s="86">
        <f t="shared" si="41"/>
        <v>1225</v>
      </c>
      <c r="AD78" s="86">
        <f t="shared" si="42"/>
        <v>3234</v>
      </c>
      <c r="AE78" s="83">
        <f>(IF(AC78&gt;AD78,AC78,AD78)-$H$20*IF(U78&lt;65,0,1)*IF(U78&gt;$E$17-1,0,1))*IF('Case 1 Income'!$C$9=1,0,1)</f>
        <v>3234</v>
      </c>
      <c r="AF78" s="5">
        <f t="shared" si="43"/>
        <v>0</v>
      </c>
      <c r="AG78" s="7">
        <f t="shared" si="45"/>
        <v>99</v>
      </c>
      <c r="AH78" s="7">
        <v>1.32</v>
      </c>
      <c r="AI78" s="7">
        <v>0.5</v>
      </c>
      <c r="AJ78" s="167">
        <v>1</v>
      </c>
      <c r="AK78" s="7"/>
    </row>
    <row r="79" spans="1:37" ht="14.25" hidden="1">
      <c r="A79" s="20"/>
      <c r="B79" s="24">
        <f t="shared" si="21"/>
        <v>0.26700001550700264</v>
      </c>
      <c r="C79" s="82">
        <f t="shared" si="46"/>
        <v>90</v>
      </c>
      <c r="D79" s="82">
        <f t="shared" si="46"/>
        <v>87</v>
      </c>
      <c r="E79" s="79">
        <f t="shared" si="23"/>
        <v>0</v>
      </c>
      <c r="F79" s="79">
        <f t="shared" si="24"/>
        <v>3234</v>
      </c>
      <c r="G79" s="79">
        <f t="shared" si="25"/>
        <v>0</v>
      </c>
      <c r="H79" s="79">
        <f t="shared" si="26"/>
        <v>0</v>
      </c>
      <c r="I79" s="79">
        <f t="shared" si="27"/>
        <v>0</v>
      </c>
      <c r="J79" s="79">
        <f t="shared" si="28"/>
        <v>0</v>
      </c>
      <c r="K79" s="80">
        <f t="shared" si="20"/>
        <v>38808</v>
      </c>
      <c r="L79" s="7"/>
      <c r="M79" s="7"/>
      <c r="N79" s="166">
        <f t="shared" si="29"/>
        <v>110</v>
      </c>
      <c r="O79" s="86">
        <f t="shared" si="30"/>
        <v>2842</v>
      </c>
      <c r="P79" s="86">
        <f t="shared" si="31"/>
        <v>3234</v>
      </c>
      <c r="Q79" s="132">
        <f t="shared" si="32"/>
        <v>3234</v>
      </c>
      <c r="R79" s="83">
        <f t="shared" si="15"/>
        <v>3234</v>
      </c>
      <c r="S79" s="83">
        <f t="shared" si="33"/>
        <v>0</v>
      </c>
      <c r="T79" s="83">
        <f>IF($G$14=2,0.5*$E$16*IF(N79&lt;66,0,1)*IF(N79&gt;69,0,1),0)*IF($E$16&gt;0.5*$D$16,1,0)*IF('Case 1 Income'!$C$9=1,0,1)</f>
        <v>0</v>
      </c>
      <c r="U79" s="86">
        <f t="shared" si="34"/>
        <v>107</v>
      </c>
      <c r="V79" s="86">
        <f t="shared" si="35"/>
        <v>800</v>
      </c>
      <c r="W79" s="86">
        <f t="shared" si="44"/>
        <v>1225</v>
      </c>
      <c r="X79" s="86">
        <f t="shared" si="36"/>
        <v>1225</v>
      </c>
      <c r="Y79" s="86">
        <f t="shared" si="37"/>
        <v>1225</v>
      </c>
      <c r="Z79" s="86">
        <f t="shared" si="38"/>
        <v>1225</v>
      </c>
      <c r="AA79" s="86">
        <f t="shared" si="39"/>
        <v>1225</v>
      </c>
      <c r="AB79" s="86">
        <f t="shared" si="40"/>
        <v>1225</v>
      </c>
      <c r="AC79" s="86">
        <f t="shared" si="41"/>
        <v>1225</v>
      </c>
      <c r="AD79" s="86">
        <f t="shared" si="42"/>
        <v>3234</v>
      </c>
      <c r="AE79" s="83">
        <f>(IF(AC79&gt;AD79,AC79,AD79)-$H$20*IF(U79&lt;65,0,1)*IF(U79&gt;$E$17-1,0,1))*IF('Case 1 Income'!$C$9=1,0,1)</f>
        <v>3234</v>
      </c>
      <c r="AF79" s="5">
        <f t="shared" si="43"/>
        <v>0</v>
      </c>
      <c r="AG79" s="7">
        <f t="shared" si="45"/>
        <v>100</v>
      </c>
      <c r="AH79" s="7">
        <v>1.32</v>
      </c>
      <c r="AI79" s="7">
        <v>0.5</v>
      </c>
      <c r="AJ79" s="167">
        <v>1</v>
      </c>
      <c r="AK79" s="7"/>
    </row>
    <row r="80" spans="1:37" ht="14.25" hidden="1">
      <c r="A80" s="20"/>
      <c r="B80" s="24">
        <f t="shared" si="21"/>
        <v>0.2555024071837346</v>
      </c>
      <c r="C80" s="82">
        <f t="shared" si="46"/>
        <v>91</v>
      </c>
      <c r="D80" s="82">
        <f t="shared" si="46"/>
        <v>88</v>
      </c>
      <c r="E80" s="79">
        <f t="shared" si="23"/>
        <v>0</v>
      </c>
      <c r="F80" s="79">
        <f t="shared" si="24"/>
        <v>3234</v>
      </c>
      <c r="G80" s="79">
        <f t="shared" si="25"/>
        <v>0</v>
      </c>
      <c r="H80" s="79">
        <f t="shared" si="26"/>
        <v>0</v>
      </c>
      <c r="I80" s="79">
        <f t="shared" si="27"/>
        <v>0</v>
      </c>
      <c r="J80" s="79">
        <f t="shared" si="28"/>
        <v>0</v>
      </c>
      <c r="K80" s="80">
        <f t="shared" si="20"/>
        <v>38808</v>
      </c>
      <c r="L80" s="7"/>
      <c r="M80" s="7"/>
      <c r="N80" s="166">
        <f t="shared" si="29"/>
        <v>111</v>
      </c>
      <c r="O80" s="86">
        <f t="shared" si="30"/>
        <v>2842</v>
      </c>
      <c r="P80" s="86">
        <f t="shared" si="31"/>
        <v>3234</v>
      </c>
      <c r="Q80" s="132">
        <f t="shared" si="32"/>
        <v>3234</v>
      </c>
      <c r="R80" s="83">
        <f t="shared" si="15"/>
        <v>3234</v>
      </c>
      <c r="S80" s="83">
        <f t="shared" si="33"/>
        <v>0</v>
      </c>
      <c r="T80" s="83">
        <f>IF($G$14=2,0.5*$E$16*IF(N80&lt;66,0,1)*IF(N80&gt;69,0,1),0)*IF($E$16&gt;0.5*$D$16,1,0)*IF('Case 1 Income'!$C$9=1,0,1)</f>
        <v>0</v>
      </c>
      <c r="U80" s="86">
        <f t="shared" si="34"/>
        <v>108</v>
      </c>
      <c r="V80" s="86">
        <f t="shared" si="35"/>
        <v>800</v>
      </c>
      <c r="W80" s="86">
        <f t="shared" si="44"/>
        <v>1225</v>
      </c>
      <c r="X80" s="86">
        <f t="shared" si="36"/>
        <v>1225</v>
      </c>
      <c r="Y80" s="86">
        <f t="shared" si="37"/>
        <v>1225</v>
      </c>
      <c r="Z80" s="86">
        <f t="shared" si="38"/>
        <v>1225</v>
      </c>
      <c r="AA80" s="86">
        <f t="shared" si="39"/>
        <v>1225</v>
      </c>
      <c r="AB80" s="86">
        <f t="shared" si="40"/>
        <v>1225</v>
      </c>
      <c r="AC80" s="86">
        <f t="shared" si="41"/>
        <v>1225</v>
      </c>
      <c r="AD80" s="86">
        <f t="shared" si="42"/>
        <v>3234</v>
      </c>
      <c r="AE80" s="83">
        <f>(IF(AC80&gt;AD80,AC80,AD80)-$H$20*IF(U80&lt;65,0,1)*IF(U80&gt;$E$17-1,0,1))*IF('Case 1 Income'!$C$9=1,0,1)</f>
        <v>3234</v>
      </c>
      <c r="AF80" s="5">
        <f t="shared" si="43"/>
        <v>0</v>
      </c>
      <c r="AG80" s="7">
        <f t="shared" si="45"/>
        <v>101</v>
      </c>
      <c r="AH80" s="7">
        <v>1.32</v>
      </c>
      <c r="AI80" s="7">
        <v>0.5</v>
      </c>
      <c r="AJ80" s="167">
        <v>1</v>
      </c>
      <c r="AK80" s="7"/>
    </row>
    <row r="81" spans="1:37" ht="14.25" hidden="1">
      <c r="A81" s="20"/>
      <c r="B81" s="24">
        <f t="shared" si="21"/>
        <v>0.24449991118060732</v>
      </c>
      <c r="C81" s="82">
        <f t="shared" si="46"/>
        <v>92</v>
      </c>
      <c r="D81" s="82">
        <f t="shared" si="46"/>
        <v>89</v>
      </c>
      <c r="E81" s="79">
        <f t="shared" si="23"/>
        <v>0</v>
      </c>
      <c r="F81" s="79">
        <f t="shared" si="24"/>
        <v>3234</v>
      </c>
      <c r="G81" s="79">
        <f t="shared" si="25"/>
        <v>0</v>
      </c>
      <c r="H81" s="79">
        <f t="shared" si="26"/>
        <v>0</v>
      </c>
      <c r="I81" s="79">
        <f t="shared" si="27"/>
        <v>0</v>
      </c>
      <c r="J81" s="79">
        <f t="shared" si="28"/>
        <v>0</v>
      </c>
      <c r="K81" s="80">
        <f t="shared" si="20"/>
        <v>38808</v>
      </c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59"/>
      <c r="AK81" s="7"/>
    </row>
    <row r="82" spans="1:37" ht="14.25" hidden="1">
      <c r="A82" s="20"/>
      <c r="B82" s="24">
        <f aca="true" t="shared" si="47" ref="B82:B100">B81/(1+$B$48)</f>
        <v>0.23397120687139458</v>
      </c>
      <c r="C82" s="82">
        <f aca="true" t="shared" si="48" ref="C82:D97">C81+1</f>
        <v>93</v>
      </c>
      <c r="D82" s="82">
        <f t="shared" si="48"/>
        <v>90</v>
      </c>
      <c r="E82" s="79">
        <f t="shared" si="23"/>
        <v>0</v>
      </c>
      <c r="F82" s="79">
        <f t="shared" si="24"/>
        <v>0</v>
      </c>
      <c r="G82" s="79">
        <f t="shared" si="25"/>
        <v>0</v>
      </c>
      <c r="H82" s="79">
        <f t="shared" si="26"/>
        <v>0</v>
      </c>
      <c r="I82" s="79">
        <f t="shared" si="27"/>
        <v>0</v>
      </c>
      <c r="J82" s="79">
        <f t="shared" si="28"/>
        <v>0</v>
      </c>
      <c r="K82" s="80">
        <f t="shared" si="20"/>
        <v>0</v>
      </c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59"/>
      <c r="AK82" s="5"/>
    </row>
    <row r="83" spans="1:37" ht="14.25" hidden="1">
      <c r="A83" s="20"/>
      <c r="B83" s="24">
        <f t="shared" si="47"/>
        <v>0.22389589174296134</v>
      </c>
      <c r="C83" s="82">
        <f t="shared" si="48"/>
        <v>94</v>
      </c>
      <c r="D83" s="82">
        <f t="shared" si="48"/>
        <v>91</v>
      </c>
      <c r="E83" s="79">
        <f t="shared" si="23"/>
        <v>0</v>
      </c>
      <c r="F83" s="79">
        <f t="shared" si="24"/>
        <v>0</v>
      </c>
      <c r="G83" s="79">
        <f t="shared" si="25"/>
        <v>0</v>
      </c>
      <c r="H83" s="79">
        <f t="shared" si="26"/>
        <v>0</v>
      </c>
      <c r="I83" s="79">
        <f t="shared" si="27"/>
        <v>0</v>
      </c>
      <c r="J83" s="79">
        <f t="shared" si="28"/>
        <v>0</v>
      </c>
      <c r="K83" s="80">
        <f t="shared" si="20"/>
        <v>0</v>
      </c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59"/>
      <c r="AK83" s="5"/>
    </row>
    <row r="84" spans="1:37" ht="14.25" hidden="1">
      <c r="A84" s="20"/>
      <c r="B84" s="24">
        <f t="shared" si="47"/>
        <v>0.21425444185929315</v>
      </c>
      <c r="C84" s="82">
        <f t="shared" si="48"/>
        <v>95</v>
      </c>
      <c r="D84" s="82">
        <f t="shared" si="48"/>
        <v>92</v>
      </c>
      <c r="E84" s="79">
        <f t="shared" si="23"/>
        <v>0</v>
      </c>
      <c r="F84" s="79">
        <f t="shared" si="24"/>
        <v>0</v>
      </c>
      <c r="G84" s="79">
        <f t="shared" si="25"/>
        <v>0</v>
      </c>
      <c r="H84" s="79">
        <f t="shared" si="26"/>
        <v>0</v>
      </c>
      <c r="I84" s="79">
        <f t="shared" si="27"/>
        <v>0</v>
      </c>
      <c r="J84" s="79">
        <f t="shared" si="28"/>
        <v>0</v>
      </c>
      <c r="K84" s="80">
        <f t="shared" si="20"/>
        <v>0</v>
      </c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59"/>
      <c r="AK84" s="5"/>
    </row>
    <row r="85" spans="1:37" ht="14.25" hidden="1">
      <c r="A85" s="20"/>
      <c r="B85" s="24">
        <f t="shared" si="47"/>
        <v>0.20502817402803175</v>
      </c>
      <c r="C85" s="82">
        <f t="shared" si="48"/>
        <v>96</v>
      </c>
      <c r="D85" s="82">
        <f t="shared" si="48"/>
        <v>93</v>
      </c>
      <c r="E85" s="79">
        <f t="shared" si="23"/>
        <v>0</v>
      </c>
      <c r="F85" s="79">
        <f t="shared" si="24"/>
        <v>0</v>
      </c>
      <c r="G85" s="79">
        <f t="shared" si="25"/>
        <v>0</v>
      </c>
      <c r="H85" s="79">
        <f t="shared" si="26"/>
        <v>0</v>
      </c>
      <c r="I85" s="79">
        <f t="shared" si="27"/>
        <v>0</v>
      </c>
      <c r="J85" s="79">
        <f t="shared" si="28"/>
        <v>0</v>
      </c>
      <c r="K85" s="80">
        <f t="shared" si="20"/>
        <v>0</v>
      </c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59"/>
      <c r="AK85" s="5"/>
    </row>
    <row r="86" spans="1:37" ht="14.25" hidden="1">
      <c r="A86" s="20"/>
      <c r="B86" s="24">
        <f t="shared" si="47"/>
        <v>0.19619920959620266</v>
      </c>
      <c r="C86" s="82">
        <f t="shared" si="48"/>
        <v>97</v>
      </c>
      <c r="D86" s="82">
        <f t="shared" si="48"/>
        <v>94</v>
      </c>
      <c r="E86" s="79">
        <f t="shared" si="23"/>
        <v>0</v>
      </c>
      <c r="F86" s="79">
        <f t="shared" si="24"/>
        <v>0</v>
      </c>
      <c r="G86" s="79">
        <f t="shared" si="25"/>
        <v>0</v>
      </c>
      <c r="H86" s="79">
        <f t="shared" si="26"/>
        <v>0</v>
      </c>
      <c r="I86" s="79">
        <f t="shared" si="27"/>
        <v>0</v>
      </c>
      <c r="J86" s="79">
        <f t="shared" si="28"/>
        <v>0</v>
      </c>
      <c r="K86" s="80">
        <f t="shared" si="20"/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59"/>
      <c r="AK86" s="5"/>
    </row>
    <row r="87" spans="1:37" ht="14.25" hidden="1">
      <c r="A87" s="20"/>
      <c r="B87" s="24">
        <f t="shared" si="47"/>
        <v>0.18775043980497863</v>
      </c>
      <c r="C87" s="82">
        <f t="shared" si="48"/>
        <v>98</v>
      </c>
      <c r="D87" s="82">
        <f t="shared" si="48"/>
        <v>95</v>
      </c>
      <c r="E87" s="79">
        <f t="shared" si="23"/>
        <v>0</v>
      </c>
      <c r="F87" s="79">
        <f t="shared" si="24"/>
        <v>0</v>
      </c>
      <c r="G87" s="79">
        <f t="shared" si="25"/>
        <v>0</v>
      </c>
      <c r="H87" s="79">
        <f t="shared" si="26"/>
        <v>0</v>
      </c>
      <c r="I87" s="79">
        <f t="shared" si="27"/>
        <v>0</v>
      </c>
      <c r="J87" s="79">
        <f t="shared" si="28"/>
        <v>0</v>
      </c>
      <c r="K87" s="80">
        <f t="shared" si="20"/>
        <v>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59"/>
      <c r="AK87" s="5"/>
    </row>
    <row r="88" spans="1:37" ht="14.25" hidden="1">
      <c r="A88" s="20"/>
      <c r="B88" s="24">
        <f t="shared" si="47"/>
        <v>0.1796654926363432</v>
      </c>
      <c r="C88" s="82">
        <f t="shared" si="48"/>
        <v>99</v>
      </c>
      <c r="D88" s="82">
        <f t="shared" si="48"/>
        <v>96</v>
      </c>
      <c r="E88" s="79">
        <f t="shared" si="23"/>
        <v>0</v>
      </c>
      <c r="F88" s="79">
        <f t="shared" si="24"/>
        <v>0</v>
      </c>
      <c r="G88" s="79">
        <f t="shared" si="25"/>
        <v>0</v>
      </c>
      <c r="H88" s="79">
        <f t="shared" si="26"/>
        <v>0</v>
      </c>
      <c r="I88" s="79">
        <f t="shared" si="27"/>
        <v>0</v>
      </c>
      <c r="J88" s="79">
        <f t="shared" si="28"/>
        <v>0</v>
      </c>
      <c r="K88" s="80">
        <f t="shared" si="20"/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59"/>
      <c r="AK88" s="5"/>
    </row>
    <row r="89" spans="1:37" ht="14.25" hidden="1">
      <c r="A89" s="20"/>
      <c r="B89" s="24">
        <f t="shared" si="47"/>
        <v>0.1719287010874098</v>
      </c>
      <c r="C89" s="82">
        <f t="shared" si="48"/>
        <v>100</v>
      </c>
      <c r="D89" s="82">
        <f t="shared" si="48"/>
        <v>97</v>
      </c>
      <c r="E89" s="79">
        <f t="shared" si="23"/>
        <v>0</v>
      </c>
      <c r="F89" s="79">
        <f t="shared" si="24"/>
        <v>0</v>
      </c>
      <c r="G89" s="79">
        <f t="shared" si="25"/>
        <v>0</v>
      </c>
      <c r="H89" s="79">
        <f t="shared" si="26"/>
        <v>0</v>
      </c>
      <c r="I89" s="79">
        <f t="shared" si="27"/>
        <v>0</v>
      </c>
      <c r="J89" s="79">
        <f t="shared" si="28"/>
        <v>0</v>
      </c>
      <c r="K89" s="80">
        <f t="shared" si="20"/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59"/>
      <c r="AK89" s="5"/>
    </row>
    <row r="90" spans="1:37" ht="14.25" hidden="1">
      <c r="A90" s="20"/>
      <c r="B90" s="24">
        <f t="shared" si="47"/>
        <v>0.16452507281091847</v>
      </c>
      <c r="C90" s="82">
        <f t="shared" si="48"/>
        <v>101</v>
      </c>
      <c r="D90" s="82">
        <f t="shared" si="48"/>
        <v>98</v>
      </c>
      <c r="E90" s="79">
        <f t="shared" si="23"/>
        <v>0</v>
      </c>
      <c r="F90" s="79">
        <f t="shared" si="24"/>
        <v>0</v>
      </c>
      <c r="G90" s="79">
        <f t="shared" si="25"/>
        <v>0</v>
      </c>
      <c r="H90" s="79">
        <f t="shared" si="26"/>
        <v>0</v>
      </c>
      <c r="I90" s="79">
        <f t="shared" si="27"/>
        <v>0</v>
      </c>
      <c r="J90" s="79">
        <f t="shared" si="28"/>
        <v>0</v>
      </c>
      <c r="K90" s="80">
        <f t="shared" si="20"/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59"/>
      <c r="AK90" s="5"/>
    </row>
    <row r="91" spans="1:37" ht="14.25" hidden="1">
      <c r="A91" s="20"/>
      <c r="B91" s="24">
        <f t="shared" si="47"/>
        <v>0.15744026106307987</v>
      </c>
      <c r="C91" s="82">
        <f t="shared" si="48"/>
        <v>102</v>
      </c>
      <c r="D91" s="82">
        <f t="shared" si="48"/>
        <v>99</v>
      </c>
      <c r="E91" s="79">
        <f t="shared" si="23"/>
        <v>0</v>
      </c>
      <c r="F91" s="79">
        <f t="shared" si="24"/>
        <v>0</v>
      </c>
      <c r="G91" s="79">
        <f t="shared" si="25"/>
        <v>0</v>
      </c>
      <c r="H91" s="79">
        <f t="shared" si="26"/>
        <v>0</v>
      </c>
      <c r="I91" s="79">
        <f t="shared" si="27"/>
        <v>0</v>
      </c>
      <c r="J91" s="79">
        <f t="shared" si="28"/>
        <v>0</v>
      </c>
      <c r="K91" s="80">
        <f t="shared" si="20"/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9"/>
      <c r="AK91" s="5"/>
    </row>
    <row r="92" spans="1:37" ht="14.25" hidden="1">
      <c r="A92" s="20"/>
      <c r="B92" s="24">
        <f t="shared" si="47"/>
        <v>0.15066053690246878</v>
      </c>
      <c r="C92" s="82">
        <f t="shared" si="48"/>
        <v>103</v>
      </c>
      <c r="D92" s="82">
        <f t="shared" si="48"/>
        <v>100</v>
      </c>
      <c r="E92" s="79">
        <f t="shared" si="23"/>
        <v>0</v>
      </c>
      <c r="F92" s="79">
        <f t="shared" si="24"/>
        <v>0</v>
      </c>
      <c r="G92" s="79">
        <f t="shared" si="25"/>
        <v>0</v>
      </c>
      <c r="H92" s="79">
        <f t="shared" si="26"/>
        <v>0</v>
      </c>
      <c r="I92" s="79">
        <f t="shared" si="27"/>
        <v>0</v>
      </c>
      <c r="J92" s="79">
        <f t="shared" si="28"/>
        <v>0</v>
      </c>
      <c r="K92" s="80">
        <f t="shared" si="2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59"/>
      <c r="AK92" s="5"/>
    </row>
    <row r="93" spans="1:37" ht="14.25" hidden="1">
      <c r="A93" s="20"/>
      <c r="B93" s="24">
        <f t="shared" si="47"/>
        <v>0.14417276258609454</v>
      </c>
      <c r="C93" s="82">
        <f t="shared" si="48"/>
        <v>104</v>
      </c>
      <c r="D93" s="82">
        <f t="shared" si="48"/>
        <v>101</v>
      </c>
      <c r="E93" s="79">
        <f t="shared" si="23"/>
        <v>0</v>
      </c>
      <c r="F93" s="79">
        <f t="shared" si="24"/>
        <v>0</v>
      </c>
      <c r="G93" s="79">
        <f t="shared" si="25"/>
        <v>0</v>
      </c>
      <c r="H93" s="79">
        <f t="shared" si="26"/>
        <v>0</v>
      </c>
      <c r="I93" s="79">
        <f t="shared" si="27"/>
        <v>0</v>
      </c>
      <c r="J93" s="79">
        <f t="shared" si="28"/>
        <v>0</v>
      </c>
      <c r="K93" s="80">
        <f t="shared" si="2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59"/>
      <c r="AK93" s="5"/>
    </row>
    <row r="94" spans="1:37" ht="14.25" hidden="1">
      <c r="A94" s="20"/>
      <c r="B94" s="24">
        <f t="shared" si="47"/>
        <v>0.13796436611109528</v>
      </c>
      <c r="C94" s="82">
        <f t="shared" si="48"/>
        <v>105</v>
      </c>
      <c r="D94" s="82">
        <f t="shared" si="48"/>
        <v>102</v>
      </c>
      <c r="E94" s="79">
        <f t="shared" si="23"/>
        <v>0</v>
      </c>
      <c r="F94" s="79">
        <f t="shared" si="24"/>
        <v>0</v>
      </c>
      <c r="G94" s="79">
        <f t="shared" si="25"/>
        <v>0</v>
      </c>
      <c r="H94" s="79">
        <f t="shared" si="26"/>
        <v>0</v>
      </c>
      <c r="I94" s="79">
        <f t="shared" si="27"/>
        <v>0</v>
      </c>
      <c r="J94" s="79">
        <f t="shared" si="28"/>
        <v>0</v>
      </c>
      <c r="K94" s="80">
        <f t="shared" si="2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59"/>
      <c r="AK94" s="5"/>
    </row>
    <row r="95" spans="1:37" ht="14.25" hidden="1">
      <c r="A95" s="20"/>
      <c r="B95" s="24">
        <f t="shared" si="47"/>
        <v>0.13202331685272276</v>
      </c>
      <c r="C95" s="82">
        <f t="shared" si="48"/>
        <v>106</v>
      </c>
      <c r="D95" s="82">
        <f t="shared" si="48"/>
        <v>103</v>
      </c>
      <c r="E95" s="79">
        <f t="shared" si="23"/>
        <v>0</v>
      </c>
      <c r="F95" s="79">
        <f t="shared" si="24"/>
        <v>0</v>
      </c>
      <c r="G95" s="79">
        <f t="shared" si="25"/>
        <v>0</v>
      </c>
      <c r="H95" s="79">
        <f t="shared" si="26"/>
        <v>0</v>
      </c>
      <c r="I95" s="79">
        <f t="shared" si="27"/>
        <v>0</v>
      </c>
      <c r="J95" s="79">
        <f t="shared" si="28"/>
        <v>0</v>
      </c>
      <c r="K95" s="80">
        <f t="shared" si="20"/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59"/>
      <c r="AK95" s="5"/>
    </row>
    <row r="96" spans="1:37" ht="14.25" hidden="1">
      <c r="A96" s="20"/>
      <c r="B96" s="24">
        <f t="shared" si="47"/>
        <v>0.12633810225140935</v>
      </c>
      <c r="C96" s="82">
        <f t="shared" si="48"/>
        <v>107</v>
      </c>
      <c r="D96" s="82">
        <f t="shared" si="48"/>
        <v>104</v>
      </c>
      <c r="E96" s="79">
        <f t="shared" si="23"/>
        <v>0</v>
      </c>
      <c r="F96" s="79">
        <f t="shared" si="24"/>
        <v>0</v>
      </c>
      <c r="G96" s="79">
        <f t="shared" si="25"/>
        <v>0</v>
      </c>
      <c r="H96" s="79">
        <f t="shared" si="26"/>
        <v>0</v>
      </c>
      <c r="I96" s="79">
        <f t="shared" si="27"/>
        <v>0</v>
      </c>
      <c r="J96" s="79">
        <f t="shared" si="28"/>
        <v>0</v>
      </c>
      <c r="K96" s="80">
        <f t="shared" si="20"/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59"/>
      <c r="AK96" s="5"/>
    </row>
    <row r="97" spans="1:37" ht="14.25" hidden="1">
      <c r="A97" s="20"/>
      <c r="B97" s="24">
        <f t="shared" si="47"/>
        <v>0.12089770550374102</v>
      </c>
      <c r="C97" s="82">
        <f t="shared" si="48"/>
        <v>108</v>
      </c>
      <c r="D97" s="82">
        <f t="shared" si="48"/>
        <v>105</v>
      </c>
      <c r="E97" s="79">
        <f t="shared" si="23"/>
        <v>0</v>
      </c>
      <c r="F97" s="79">
        <f t="shared" si="24"/>
        <v>0</v>
      </c>
      <c r="G97" s="79">
        <f t="shared" si="25"/>
        <v>0</v>
      </c>
      <c r="H97" s="79">
        <f t="shared" si="26"/>
        <v>0</v>
      </c>
      <c r="I97" s="79">
        <f t="shared" si="27"/>
        <v>0</v>
      </c>
      <c r="J97" s="79">
        <f t="shared" si="28"/>
        <v>0</v>
      </c>
      <c r="K97" s="80">
        <f t="shared" si="20"/>
        <v>0</v>
      </c>
      <c r="L97" s="5"/>
      <c r="M97" s="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5"/>
      <c r="AD97" s="5"/>
      <c r="AE97" s="5"/>
      <c r="AF97" s="5"/>
      <c r="AG97" s="5"/>
      <c r="AH97" s="5"/>
      <c r="AI97" s="5"/>
      <c r="AJ97" s="159"/>
      <c r="AK97" s="5"/>
    </row>
    <row r="98" spans="1:37" ht="14.25" hidden="1">
      <c r="A98" s="20"/>
      <c r="B98" s="24">
        <f t="shared" si="47"/>
        <v>0.11569158421410625</v>
      </c>
      <c r="C98" s="82">
        <f aca="true" t="shared" si="49" ref="C98:D100">C97+1</f>
        <v>109</v>
      </c>
      <c r="D98" s="82">
        <f t="shared" si="49"/>
        <v>106</v>
      </c>
      <c r="E98" s="79">
        <f t="shared" si="23"/>
        <v>0</v>
      </c>
      <c r="F98" s="79">
        <f t="shared" si="24"/>
        <v>0</v>
      </c>
      <c r="G98" s="79">
        <f t="shared" si="25"/>
        <v>0</v>
      </c>
      <c r="H98" s="79">
        <f t="shared" si="26"/>
        <v>0</v>
      </c>
      <c r="I98" s="79">
        <f t="shared" si="27"/>
        <v>0</v>
      </c>
      <c r="J98" s="79">
        <f t="shared" si="28"/>
        <v>0</v>
      </c>
      <c r="K98" s="80">
        <f t="shared" si="20"/>
        <v>0</v>
      </c>
      <c r="L98" s="5"/>
      <c r="M98" s="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5"/>
      <c r="AC98" s="5"/>
      <c r="AD98" s="5"/>
      <c r="AE98" s="5"/>
      <c r="AF98" s="5"/>
      <c r="AG98" s="5"/>
      <c r="AH98" s="5"/>
      <c r="AI98" s="5"/>
      <c r="AJ98" s="159"/>
      <c r="AK98" s="5"/>
    </row>
    <row r="99" spans="1:37" ht="14.25" hidden="1">
      <c r="A99" s="20"/>
      <c r="B99" s="24">
        <f t="shared" si="47"/>
        <v>0.11070964996565191</v>
      </c>
      <c r="C99" s="82">
        <f t="shared" si="49"/>
        <v>110</v>
      </c>
      <c r="D99" s="82">
        <f t="shared" si="49"/>
        <v>107</v>
      </c>
      <c r="E99" s="79">
        <f t="shared" si="23"/>
        <v>0</v>
      </c>
      <c r="F99" s="79">
        <f t="shared" si="24"/>
        <v>0</v>
      </c>
      <c r="G99" s="79">
        <f t="shared" si="25"/>
        <v>0</v>
      </c>
      <c r="H99" s="79">
        <f t="shared" si="26"/>
        <v>0</v>
      </c>
      <c r="I99" s="79">
        <f t="shared" si="27"/>
        <v>0</v>
      </c>
      <c r="J99" s="79">
        <f t="shared" si="28"/>
        <v>0</v>
      </c>
      <c r="K99" s="80">
        <f t="shared" si="20"/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59"/>
      <c r="AK99" s="5"/>
    </row>
    <row r="100" spans="1:37" ht="14.25" hidden="1">
      <c r="A100" s="20"/>
      <c r="B100" s="24">
        <f t="shared" si="47"/>
        <v>0.10594224877095877</v>
      </c>
      <c r="C100" s="82">
        <f t="shared" si="49"/>
        <v>111</v>
      </c>
      <c r="D100" s="82">
        <f t="shared" si="49"/>
        <v>108</v>
      </c>
      <c r="E100" s="79">
        <f t="shared" si="23"/>
        <v>0</v>
      </c>
      <c r="F100" s="79">
        <f t="shared" si="24"/>
        <v>0</v>
      </c>
      <c r="G100" s="79">
        <f t="shared" si="25"/>
        <v>0</v>
      </c>
      <c r="H100" s="79">
        <f t="shared" si="26"/>
        <v>0</v>
      </c>
      <c r="I100" s="79">
        <f t="shared" si="27"/>
        <v>0</v>
      </c>
      <c r="J100" s="79">
        <f t="shared" si="28"/>
        <v>0</v>
      </c>
      <c r="K100" s="80">
        <f t="shared" si="20"/>
        <v>0</v>
      </c>
      <c r="L100" s="5"/>
      <c r="M100" s="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5"/>
      <c r="AC100" s="5"/>
      <c r="AD100" s="5"/>
      <c r="AE100" s="5"/>
      <c r="AF100" s="5"/>
      <c r="AG100" s="5"/>
      <c r="AH100" s="5"/>
      <c r="AI100" s="5"/>
      <c r="AJ100" s="159"/>
      <c r="AK100" s="5"/>
    </row>
    <row r="101" spans="1:37" ht="14.25" hidden="1">
      <c r="A101" s="20"/>
      <c r="B101" s="24"/>
      <c r="C101" s="25"/>
      <c r="D101" s="25"/>
      <c r="E101" s="79"/>
      <c r="F101" s="79"/>
      <c r="G101" s="79"/>
      <c r="H101" s="164"/>
      <c r="I101" s="164" t="s">
        <v>228</v>
      </c>
      <c r="J101" s="164" t="s">
        <v>229</v>
      </c>
      <c r="K101" s="169" t="s">
        <v>230</v>
      </c>
      <c r="L101" s="5"/>
      <c r="M101" s="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5"/>
      <c r="AC101" s="5"/>
      <c r="AD101" s="5"/>
      <c r="AE101" s="5"/>
      <c r="AF101" s="5"/>
      <c r="AG101" s="5"/>
      <c r="AH101" s="5"/>
      <c r="AI101" s="5"/>
      <c r="AJ101" s="159"/>
      <c r="AK101" s="5"/>
    </row>
    <row r="102" spans="1:37" ht="14.25" hidden="1">
      <c r="A102" s="20"/>
      <c r="B102" s="24"/>
      <c r="C102" s="25"/>
      <c r="D102" s="25"/>
      <c r="E102" s="79"/>
      <c r="F102" s="79"/>
      <c r="G102" s="79"/>
      <c r="H102" s="164"/>
      <c r="I102" s="134">
        <f>MAX($K$49:$K$100)</f>
        <v>53508</v>
      </c>
      <c r="J102" s="148">
        <f>D18*12</f>
        <v>0</v>
      </c>
      <c r="K102" s="153">
        <f>E18*12</f>
        <v>0</v>
      </c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5"/>
      <c r="AC102" s="5"/>
      <c r="AD102" s="5"/>
      <c r="AE102" s="5"/>
      <c r="AF102" s="5"/>
      <c r="AG102" s="5"/>
      <c r="AH102" s="5"/>
      <c r="AI102" s="5"/>
      <c r="AJ102" s="159"/>
      <c r="AK102" s="5"/>
    </row>
    <row r="103" spans="1:37" ht="15" hidden="1" thickBot="1">
      <c r="A103" s="20"/>
      <c r="B103" s="24"/>
      <c r="C103" s="25"/>
      <c r="D103" s="25"/>
      <c r="E103" s="79"/>
      <c r="F103" s="79"/>
      <c r="G103" s="79"/>
      <c r="H103" s="164"/>
      <c r="I103" s="164"/>
      <c r="J103" s="164"/>
      <c r="K103" s="16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5"/>
      <c r="AC103" s="5"/>
      <c r="AD103" s="5"/>
      <c r="AE103" s="5"/>
      <c r="AF103" s="5"/>
      <c r="AG103" s="5"/>
      <c r="AH103" s="5"/>
      <c r="AI103" s="5"/>
      <c r="AJ103" s="159"/>
      <c r="AK103" s="5"/>
    </row>
    <row r="104" spans="1:37" ht="14.25">
      <c r="A104" s="11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65"/>
      <c r="L104" s="5"/>
      <c r="M104" s="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5"/>
      <c r="AC104" s="5"/>
      <c r="AD104" s="5"/>
      <c r="AE104" s="5"/>
      <c r="AF104" s="5"/>
      <c r="AG104" s="5"/>
      <c r="AH104" s="5"/>
      <c r="AI104" s="5"/>
      <c r="AJ104" s="159"/>
      <c r="AK104" s="5"/>
    </row>
    <row r="105" spans="1:37" ht="15" thickBot="1">
      <c r="A105" s="127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L105" s="168"/>
      <c r="M105" s="5"/>
      <c r="N105" s="5"/>
      <c r="O105" s="5"/>
      <c r="P105" s="5"/>
      <c r="Q105" s="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5"/>
      <c r="AC105" s="5"/>
      <c r="AD105" s="5"/>
      <c r="AE105" s="5"/>
      <c r="AF105" s="5"/>
      <c r="AG105" s="5"/>
      <c r="AH105" s="5"/>
      <c r="AI105" s="5"/>
      <c r="AJ105" s="159"/>
      <c r="AK105" s="5"/>
    </row>
    <row r="106" spans="1:37" ht="14.25">
      <c r="A106" s="28"/>
      <c r="B106" s="28"/>
      <c r="C106" s="187"/>
      <c r="D106" s="187" t="s">
        <v>45</v>
      </c>
      <c r="E106" s="187"/>
      <c r="F106" s="187"/>
      <c r="G106" s="187"/>
      <c r="H106" s="188"/>
      <c r="I106" s="187"/>
      <c r="J106" s="187"/>
      <c r="L106" s="5"/>
      <c r="M106" s="168"/>
      <c r="N106" s="5"/>
      <c r="O106" s="5"/>
      <c r="P106" s="5"/>
      <c r="Q106" s="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5"/>
      <c r="AC106" s="5"/>
      <c r="AD106" s="5"/>
      <c r="AE106" s="5"/>
      <c r="AF106" s="5"/>
      <c r="AG106" s="5"/>
      <c r="AH106" s="5"/>
      <c r="AI106" s="5"/>
      <c r="AJ106" s="159"/>
      <c r="AK106" s="5"/>
    </row>
    <row r="107" spans="1:37" ht="14.25">
      <c r="A107" s="28"/>
      <c r="B107" s="28"/>
      <c r="C107" s="187" t="str">
        <f>$D$12</f>
        <v>Bill</v>
      </c>
      <c r="D107" s="187" t="s">
        <v>231</v>
      </c>
      <c r="E107" s="187" t="s">
        <v>232</v>
      </c>
      <c r="F107" s="187" t="str">
        <f>CONCATENATE($D$12,"'s SS")</f>
        <v>Bill's SS</v>
      </c>
      <c r="G107" s="187" t="str">
        <f>CONCATENATE($E$12,"'s SS")</f>
        <v>Jane's SS</v>
      </c>
      <c r="H107" s="188" t="s">
        <v>48</v>
      </c>
      <c r="I107" s="188" t="s">
        <v>227</v>
      </c>
      <c r="J107" s="170" t="s">
        <v>294</v>
      </c>
      <c r="K107" s="47"/>
      <c r="L107" s="168"/>
      <c r="M107" s="168"/>
      <c r="N107" s="168"/>
      <c r="O107" s="168"/>
      <c r="P107" s="168"/>
      <c r="Q107" s="168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5"/>
      <c r="AC107" s="5"/>
      <c r="AD107" s="5"/>
      <c r="AE107" s="5"/>
      <c r="AF107" s="5"/>
      <c r="AG107" s="5"/>
      <c r="AH107" s="5"/>
      <c r="AI107" s="5"/>
      <c r="AJ107" s="159"/>
      <c r="AK107" s="5"/>
    </row>
    <row r="108" spans="1:27" ht="14.25">
      <c r="A108" s="28"/>
      <c r="B108" s="28"/>
      <c r="C108" s="187">
        <f aca="true" t="shared" si="50" ref="C108:C139">C49</f>
        <v>60</v>
      </c>
      <c r="D108" s="187">
        <f>'Case 1 Income'!D108</f>
        <v>0</v>
      </c>
      <c r="E108" s="189">
        <f aca="true" t="shared" si="51" ref="E108:E139">K49</f>
        <v>0</v>
      </c>
      <c r="F108" s="189">
        <f aca="true" t="shared" si="52" ref="F108:G127">12*E49</f>
        <v>0</v>
      </c>
      <c r="G108" s="189">
        <f t="shared" si="52"/>
        <v>0</v>
      </c>
      <c r="H108" s="189">
        <f aca="true" t="shared" si="53" ref="H108:H139">12*(G49+I49)</f>
        <v>0</v>
      </c>
      <c r="I108" s="186">
        <f>($I$102-E108)*IF(C108&lt;$L$111,1,0)*IF(C108&lt;$D$15,0,1)</f>
        <v>0</v>
      </c>
      <c r="J108" s="185">
        <f>E108+I108</f>
        <v>0</v>
      </c>
      <c r="K108" s="145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66"/>
      <c r="Q108" s="66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4.25">
      <c r="A109" s="28"/>
      <c r="B109" s="28"/>
      <c r="C109" s="187">
        <f t="shared" si="50"/>
        <v>61</v>
      </c>
      <c r="D109" s="187">
        <f>'Case 1 Income'!D109</f>
        <v>0</v>
      </c>
      <c r="E109" s="189">
        <f t="shared" si="51"/>
        <v>0</v>
      </c>
      <c r="F109" s="189">
        <f t="shared" si="52"/>
        <v>0</v>
      </c>
      <c r="G109" s="189">
        <f t="shared" si="52"/>
        <v>0</v>
      </c>
      <c r="H109" s="189">
        <f t="shared" si="53"/>
        <v>0</v>
      </c>
      <c r="I109" s="186">
        <f aca="true" t="shared" si="54" ref="I109:I159">($I$102-E109)*IF(C109&lt;$L$111,1,0)*IF(C109&lt;$D$15,0,1)</f>
        <v>0</v>
      </c>
      <c r="J109" s="185">
        <f aca="true" t="shared" si="55" ref="J109:J159">E109+I109</f>
        <v>0</v>
      </c>
      <c r="K109" s="145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66"/>
      <c r="Q109" s="66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ht="14.25">
      <c r="A110" s="28"/>
      <c r="B110" s="28"/>
      <c r="C110" s="187">
        <f t="shared" si="50"/>
        <v>62</v>
      </c>
      <c r="D110" s="187">
        <f>'Case 1 Income'!D110</f>
        <v>22050</v>
      </c>
      <c r="E110" s="189">
        <f t="shared" si="51"/>
        <v>0</v>
      </c>
      <c r="F110" s="189">
        <f t="shared" si="52"/>
        <v>0</v>
      </c>
      <c r="G110" s="189">
        <f t="shared" si="52"/>
        <v>0</v>
      </c>
      <c r="H110" s="189">
        <f t="shared" si="53"/>
        <v>0</v>
      </c>
      <c r="I110" s="186">
        <f t="shared" si="54"/>
        <v>53508</v>
      </c>
      <c r="J110" s="185">
        <f t="shared" si="55"/>
        <v>53508</v>
      </c>
      <c r="K110" s="145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66"/>
      <c r="Q110" s="66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4.25">
      <c r="A111" s="28"/>
      <c r="B111" s="28"/>
      <c r="C111" s="187">
        <f t="shared" si="50"/>
        <v>63</v>
      </c>
      <c r="D111" s="187">
        <f>'Case 1 Income'!D111</f>
        <v>22050</v>
      </c>
      <c r="E111" s="189">
        <f t="shared" si="51"/>
        <v>0</v>
      </c>
      <c r="F111" s="189">
        <f t="shared" si="52"/>
        <v>0</v>
      </c>
      <c r="G111" s="189">
        <f t="shared" si="52"/>
        <v>0</v>
      </c>
      <c r="H111" s="189">
        <f t="shared" si="53"/>
        <v>0</v>
      </c>
      <c r="I111" s="186">
        <f t="shared" si="54"/>
        <v>53508</v>
      </c>
      <c r="J111" s="185">
        <f t="shared" si="55"/>
        <v>53508</v>
      </c>
      <c r="K111" s="145"/>
      <c r="L111" s="181">
        <f>IF(M108&lt;M110,M108,M110)</f>
        <v>80</v>
      </c>
      <c r="M111" s="181" t="s">
        <v>293</v>
      </c>
      <c r="N111" s="181"/>
      <c r="O111" s="181"/>
      <c r="P111" s="66"/>
      <c r="Q111" s="66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4.25">
      <c r="A112" s="28"/>
      <c r="B112" s="28"/>
      <c r="C112" s="187">
        <f t="shared" si="50"/>
        <v>64</v>
      </c>
      <c r="D112" s="187">
        <f>'Case 1 Income'!D112</f>
        <v>22050</v>
      </c>
      <c r="E112" s="189">
        <f t="shared" si="51"/>
        <v>0</v>
      </c>
      <c r="F112" s="189">
        <f t="shared" si="52"/>
        <v>0</v>
      </c>
      <c r="G112" s="189">
        <f t="shared" si="52"/>
        <v>0</v>
      </c>
      <c r="H112" s="189">
        <f t="shared" si="53"/>
        <v>0</v>
      </c>
      <c r="I112" s="186">
        <f t="shared" si="54"/>
        <v>53508</v>
      </c>
      <c r="J112" s="185">
        <f t="shared" si="55"/>
        <v>53508</v>
      </c>
      <c r="K112" s="145"/>
      <c r="L112" s="134"/>
      <c r="M112" s="134"/>
      <c r="N112" s="133"/>
      <c r="O112" s="133"/>
      <c r="P112" s="66"/>
      <c r="Q112" s="66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4.25">
      <c r="A113" s="28"/>
      <c r="B113" s="28"/>
      <c r="C113" s="187">
        <f t="shared" si="50"/>
        <v>65</v>
      </c>
      <c r="D113" s="187">
        <f>'Case 1 Income'!D113</f>
        <v>31605</v>
      </c>
      <c r="E113" s="189">
        <f t="shared" si="51"/>
        <v>0</v>
      </c>
      <c r="F113" s="189">
        <f t="shared" si="52"/>
        <v>0</v>
      </c>
      <c r="G113" s="189">
        <f t="shared" si="52"/>
        <v>0</v>
      </c>
      <c r="H113" s="189">
        <f t="shared" si="53"/>
        <v>0</v>
      </c>
      <c r="I113" s="186">
        <f t="shared" si="54"/>
        <v>53508</v>
      </c>
      <c r="J113" s="185">
        <f t="shared" si="55"/>
        <v>53508</v>
      </c>
      <c r="K113" s="145"/>
      <c r="L113" s="134"/>
      <c r="M113" s="134"/>
      <c r="N113" s="133"/>
      <c r="O113" s="133"/>
      <c r="P113" s="66"/>
      <c r="Q113" s="66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4.25">
      <c r="A114" s="28"/>
      <c r="B114" s="28"/>
      <c r="C114" s="187">
        <f t="shared" si="50"/>
        <v>66</v>
      </c>
      <c r="D114" s="187">
        <f>'Case 1 Income'!D114</f>
        <v>31605</v>
      </c>
      <c r="E114" s="189">
        <f t="shared" si="51"/>
        <v>0</v>
      </c>
      <c r="F114" s="189">
        <f t="shared" si="52"/>
        <v>0</v>
      </c>
      <c r="G114" s="189">
        <f t="shared" si="52"/>
        <v>0</v>
      </c>
      <c r="H114" s="189">
        <f t="shared" si="53"/>
        <v>0</v>
      </c>
      <c r="I114" s="186">
        <f t="shared" si="54"/>
        <v>53508</v>
      </c>
      <c r="J114" s="185">
        <f t="shared" si="55"/>
        <v>53508</v>
      </c>
      <c r="K114" s="145"/>
      <c r="L114" s="120"/>
      <c r="M114" s="120"/>
      <c r="N114" s="128"/>
      <c r="O114" s="128"/>
      <c r="P114" s="28"/>
      <c r="Q114" s="2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4.25">
      <c r="A115" s="28"/>
      <c r="B115" s="28"/>
      <c r="C115" s="187">
        <f t="shared" si="50"/>
        <v>67</v>
      </c>
      <c r="D115" s="187">
        <f>'Case 1 Income'!D115</f>
        <v>31605</v>
      </c>
      <c r="E115" s="189">
        <f t="shared" si="51"/>
        <v>0</v>
      </c>
      <c r="F115" s="189">
        <f t="shared" si="52"/>
        <v>0</v>
      </c>
      <c r="G115" s="189">
        <f t="shared" si="52"/>
        <v>0</v>
      </c>
      <c r="H115" s="189">
        <f t="shared" si="53"/>
        <v>0</v>
      </c>
      <c r="I115" s="186">
        <f t="shared" si="54"/>
        <v>53508</v>
      </c>
      <c r="J115" s="185">
        <f t="shared" si="55"/>
        <v>53508</v>
      </c>
      <c r="K115" s="145"/>
      <c r="L115" s="120"/>
      <c r="M115" s="120"/>
      <c r="N115" s="128"/>
      <c r="O115" s="128"/>
      <c r="P115" s="28"/>
      <c r="Q115" s="2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4.25">
      <c r="A116" s="28"/>
      <c r="B116" s="28"/>
      <c r="C116" s="187">
        <f t="shared" si="50"/>
        <v>68</v>
      </c>
      <c r="D116" s="187">
        <f>'Case 1 Income'!D116</f>
        <v>31605</v>
      </c>
      <c r="E116" s="189">
        <f t="shared" si="51"/>
        <v>0</v>
      </c>
      <c r="F116" s="189">
        <f t="shared" si="52"/>
        <v>0</v>
      </c>
      <c r="G116" s="189">
        <f t="shared" si="52"/>
        <v>0</v>
      </c>
      <c r="H116" s="189">
        <f t="shared" si="53"/>
        <v>0</v>
      </c>
      <c r="I116" s="186">
        <f t="shared" si="54"/>
        <v>53508</v>
      </c>
      <c r="J116" s="185">
        <f t="shared" si="55"/>
        <v>53508</v>
      </c>
      <c r="K116" s="145"/>
      <c r="L116" s="120"/>
      <c r="M116" s="120"/>
      <c r="N116" s="128"/>
      <c r="O116" s="128"/>
      <c r="P116" s="28"/>
      <c r="Q116" s="2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4.25">
      <c r="A117" s="28"/>
      <c r="B117" s="28"/>
      <c r="C117" s="187">
        <f t="shared" si="50"/>
        <v>69</v>
      </c>
      <c r="D117" s="187">
        <f>'Case 1 Income'!D117</f>
        <v>31605</v>
      </c>
      <c r="E117" s="189">
        <f t="shared" si="51"/>
        <v>14700</v>
      </c>
      <c r="F117" s="189">
        <f t="shared" si="52"/>
        <v>0</v>
      </c>
      <c r="G117" s="189">
        <f t="shared" si="52"/>
        <v>14700</v>
      </c>
      <c r="H117" s="189">
        <f t="shared" si="53"/>
        <v>0</v>
      </c>
      <c r="I117" s="186">
        <f t="shared" si="54"/>
        <v>38808</v>
      </c>
      <c r="J117" s="185">
        <f t="shared" si="55"/>
        <v>53508</v>
      </c>
      <c r="K117" s="145"/>
      <c r="L117" s="120"/>
      <c r="M117" s="120"/>
      <c r="N117" s="128"/>
      <c r="O117" s="128"/>
      <c r="P117" s="28"/>
      <c r="Q117" s="2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4.25">
      <c r="A118" s="28"/>
      <c r="B118" s="28"/>
      <c r="C118" s="187">
        <f t="shared" si="50"/>
        <v>70</v>
      </c>
      <c r="D118" s="187">
        <f>'Case 1 Income'!D118</f>
        <v>31605</v>
      </c>
      <c r="E118" s="189">
        <f t="shared" si="51"/>
        <v>53508</v>
      </c>
      <c r="F118" s="189">
        <f t="shared" si="52"/>
        <v>38808</v>
      </c>
      <c r="G118" s="189">
        <f t="shared" si="52"/>
        <v>14700</v>
      </c>
      <c r="H118" s="189">
        <f t="shared" si="53"/>
        <v>0</v>
      </c>
      <c r="I118" s="186">
        <f t="shared" si="54"/>
        <v>0</v>
      </c>
      <c r="J118" s="185">
        <f t="shared" si="55"/>
        <v>53508</v>
      </c>
      <c r="K118" s="145"/>
      <c r="L118" s="120"/>
      <c r="M118" s="120"/>
      <c r="N118" s="128"/>
      <c r="O118" s="128"/>
      <c r="P118" s="28"/>
      <c r="Q118" s="2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4.25">
      <c r="A119" s="28"/>
      <c r="B119" s="28"/>
      <c r="C119" s="187">
        <f t="shared" si="50"/>
        <v>71</v>
      </c>
      <c r="D119" s="187">
        <f>'Case 1 Income'!D119</f>
        <v>31605</v>
      </c>
      <c r="E119" s="189">
        <f t="shared" si="51"/>
        <v>53508</v>
      </c>
      <c r="F119" s="189">
        <f t="shared" si="52"/>
        <v>38808</v>
      </c>
      <c r="G119" s="189">
        <f t="shared" si="52"/>
        <v>14700</v>
      </c>
      <c r="H119" s="189">
        <f t="shared" si="53"/>
        <v>0</v>
      </c>
      <c r="I119" s="186">
        <f t="shared" si="54"/>
        <v>0</v>
      </c>
      <c r="J119" s="185">
        <f t="shared" si="55"/>
        <v>53508</v>
      </c>
      <c r="K119" s="145"/>
      <c r="L119" s="120"/>
      <c r="M119" s="120"/>
      <c r="N119" s="128"/>
      <c r="O119" s="128"/>
      <c r="P119" s="28"/>
      <c r="Q119" s="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ht="14.25">
      <c r="A120" s="28"/>
      <c r="B120" s="28"/>
      <c r="C120" s="187">
        <f t="shared" si="50"/>
        <v>72</v>
      </c>
      <c r="D120" s="187">
        <f>'Case 1 Income'!D120</f>
        <v>31605</v>
      </c>
      <c r="E120" s="189">
        <f t="shared" si="51"/>
        <v>53508</v>
      </c>
      <c r="F120" s="189">
        <f t="shared" si="52"/>
        <v>38808</v>
      </c>
      <c r="G120" s="189">
        <f t="shared" si="52"/>
        <v>14700</v>
      </c>
      <c r="H120" s="189">
        <f t="shared" si="53"/>
        <v>0</v>
      </c>
      <c r="I120" s="186">
        <f t="shared" si="54"/>
        <v>0</v>
      </c>
      <c r="J120" s="185">
        <f t="shared" si="55"/>
        <v>53508</v>
      </c>
      <c r="K120" s="145"/>
      <c r="L120" s="120"/>
      <c r="M120" s="120"/>
      <c r="N120" s="128"/>
      <c r="O120" s="128"/>
      <c r="P120" s="28"/>
      <c r="Q120" s="2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14.25">
      <c r="A121" s="28"/>
      <c r="B121" s="28"/>
      <c r="C121" s="187">
        <f t="shared" si="50"/>
        <v>73</v>
      </c>
      <c r="D121" s="187">
        <f>'Case 1 Income'!D121</f>
        <v>31605</v>
      </c>
      <c r="E121" s="189">
        <f t="shared" si="51"/>
        <v>53508</v>
      </c>
      <c r="F121" s="189">
        <f t="shared" si="52"/>
        <v>38808</v>
      </c>
      <c r="G121" s="189">
        <f t="shared" si="52"/>
        <v>14700</v>
      </c>
      <c r="H121" s="189">
        <f t="shared" si="53"/>
        <v>0</v>
      </c>
      <c r="I121" s="186">
        <f t="shared" si="54"/>
        <v>0</v>
      </c>
      <c r="J121" s="185">
        <f t="shared" si="55"/>
        <v>53508</v>
      </c>
      <c r="K121" s="145"/>
      <c r="L121" s="120"/>
      <c r="M121" s="120"/>
      <c r="N121" s="128"/>
      <c r="O121" s="128"/>
      <c r="P121" s="28"/>
      <c r="Q121" s="2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14.25">
      <c r="A122" s="28"/>
      <c r="B122" s="28"/>
      <c r="C122" s="187">
        <f t="shared" si="50"/>
        <v>74</v>
      </c>
      <c r="D122" s="187">
        <f>'Case 1 Income'!D122</f>
        <v>31605</v>
      </c>
      <c r="E122" s="189">
        <f t="shared" si="51"/>
        <v>53508</v>
      </c>
      <c r="F122" s="189">
        <f t="shared" si="52"/>
        <v>38808</v>
      </c>
      <c r="G122" s="189">
        <f t="shared" si="52"/>
        <v>14700</v>
      </c>
      <c r="H122" s="189">
        <f t="shared" si="53"/>
        <v>0</v>
      </c>
      <c r="I122" s="186">
        <f t="shared" si="54"/>
        <v>0</v>
      </c>
      <c r="J122" s="185">
        <f t="shared" si="55"/>
        <v>53508</v>
      </c>
      <c r="K122" s="145"/>
      <c r="L122" s="120"/>
      <c r="M122" s="120"/>
      <c r="N122" s="128"/>
      <c r="O122" s="128"/>
      <c r="P122" s="28"/>
      <c r="Q122" s="2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14.25">
      <c r="A123" s="28"/>
      <c r="B123" s="28"/>
      <c r="C123" s="187">
        <f t="shared" si="50"/>
        <v>75</v>
      </c>
      <c r="D123" s="187">
        <f>'Case 1 Income'!D123</f>
        <v>31605</v>
      </c>
      <c r="E123" s="189">
        <f t="shared" si="51"/>
        <v>53508</v>
      </c>
      <c r="F123" s="189">
        <f t="shared" si="52"/>
        <v>38808</v>
      </c>
      <c r="G123" s="189">
        <f t="shared" si="52"/>
        <v>14700</v>
      </c>
      <c r="H123" s="189">
        <f t="shared" si="53"/>
        <v>0</v>
      </c>
      <c r="I123" s="186">
        <f t="shared" si="54"/>
        <v>0</v>
      </c>
      <c r="J123" s="185">
        <f t="shared" si="55"/>
        <v>53508</v>
      </c>
      <c r="K123" s="145"/>
      <c r="L123" s="120"/>
      <c r="M123" s="120"/>
      <c r="N123" s="128"/>
      <c r="O123" s="128"/>
      <c r="P123" s="28"/>
      <c r="Q123" s="2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14.25">
      <c r="A124" s="28"/>
      <c r="B124" s="28"/>
      <c r="C124" s="187">
        <f t="shared" si="50"/>
        <v>76</v>
      </c>
      <c r="D124" s="187">
        <f>'Case 1 Income'!D124</f>
        <v>31605</v>
      </c>
      <c r="E124" s="189">
        <f t="shared" si="51"/>
        <v>53508</v>
      </c>
      <c r="F124" s="189">
        <f t="shared" si="52"/>
        <v>38808</v>
      </c>
      <c r="G124" s="189">
        <f t="shared" si="52"/>
        <v>14700</v>
      </c>
      <c r="H124" s="189">
        <f t="shared" si="53"/>
        <v>0</v>
      </c>
      <c r="I124" s="186">
        <f t="shared" si="54"/>
        <v>0</v>
      </c>
      <c r="J124" s="185">
        <f t="shared" si="55"/>
        <v>53508</v>
      </c>
      <c r="K124" s="145"/>
      <c r="L124" s="120"/>
      <c r="M124" s="120"/>
      <c r="N124" s="128"/>
      <c r="O124" s="128"/>
      <c r="P124" s="28"/>
      <c r="Q124" s="2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4.25">
      <c r="A125" s="28"/>
      <c r="B125" s="28"/>
      <c r="C125" s="187">
        <f t="shared" si="50"/>
        <v>77</v>
      </c>
      <c r="D125" s="187">
        <f>'Case 1 Income'!D125</f>
        <v>31605</v>
      </c>
      <c r="E125" s="189">
        <f t="shared" si="51"/>
        <v>53508</v>
      </c>
      <c r="F125" s="189">
        <f t="shared" si="52"/>
        <v>38808</v>
      </c>
      <c r="G125" s="189">
        <f t="shared" si="52"/>
        <v>14700</v>
      </c>
      <c r="H125" s="189">
        <f t="shared" si="53"/>
        <v>0</v>
      </c>
      <c r="I125" s="186">
        <f t="shared" si="54"/>
        <v>0</v>
      </c>
      <c r="J125" s="185">
        <f t="shared" si="55"/>
        <v>53508</v>
      </c>
      <c r="K125" s="145"/>
      <c r="L125" s="120"/>
      <c r="M125" s="120"/>
      <c r="N125" s="128"/>
      <c r="O125" s="128"/>
      <c r="P125" s="28"/>
      <c r="Q125" s="2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14.25">
      <c r="A126" s="28"/>
      <c r="B126" s="28"/>
      <c r="C126" s="187">
        <f t="shared" si="50"/>
        <v>78</v>
      </c>
      <c r="D126" s="187">
        <f>'Case 1 Income'!D126</f>
        <v>31605</v>
      </c>
      <c r="E126" s="189">
        <f t="shared" si="51"/>
        <v>53508</v>
      </c>
      <c r="F126" s="189">
        <f t="shared" si="52"/>
        <v>38808</v>
      </c>
      <c r="G126" s="189">
        <f t="shared" si="52"/>
        <v>14700</v>
      </c>
      <c r="H126" s="189">
        <f t="shared" si="53"/>
        <v>0</v>
      </c>
      <c r="I126" s="186">
        <f t="shared" si="54"/>
        <v>0</v>
      </c>
      <c r="J126" s="185">
        <f t="shared" si="55"/>
        <v>53508</v>
      </c>
      <c r="K126" s="145"/>
      <c r="L126" s="120"/>
      <c r="M126" s="120"/>
      <c r="N126" s="128"/>
      <c r="O126" s="128"/>
      <c r="P126" s="28"/>
      <c r="Q126" s="2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ht="14.25">
      <c r="A127" s="28"/>
      <c r="B127" s="28"/>
      <c r="C127" s="187">
        <f t="shared" si="50"/>
        <v>79</v>
      </c>
      <c r="D127" s="187">
        <f>'Case 1 Income'!D127</f>
        <v>31605</v>
      </c>
      <c r="E127" s="189">
        <f t="shared" si="51"/>
        <v>53508</v>
      </c>
      <c r="F127" s="189">
        <f t="shared" si="52"/>
        <v>38808</v>
      </c>
      <c r="G127" s="189">
        <f t="shared" si="52"/>
        <v>14700</v>
      </c>
      <c r="H127" s="189">
        <f t="shared" si="53"/>
        <v>0</v>
      </c>
      <c r="I127" s="186">
        <f t="shared" si="54"/>
        <v>0</v>
      </c>
      <c r="J127" s="185">
        <f t="shared" si="55"/>
        <v>53508</v>
      </c>
      <c r="K127" s="145"/>
      <c r="L127" s="120"/>
      <c r="M127" s="120"/>
      <c r="N127" s="128"/>
      <c r="O127" s="128"/>
      <c r="P127" s="28"/>
      <c r="Q127" s="2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4.25">
      <c r="A128" s="28"/>
      <c r="B128" s="28"/>
      <c r="C128" s="187">
        <f t="shared" si="50"/>
        <v>80</v>
      </c>
      <c r="D128" s="187">
        <f>'Case 1 Income'!D128</f>
        <v>22050</v>
      </c>
      <c r="E128" s="189">
        <f t="shared" si="51"/>
        <v>38808</v>
      </c>
      <c r="F128" s="189">
        <f aca="true" t="shared" si="56" ref="F128:G147">12*E69</f>
        <v>0</v>
      </c>
      <c r="G128" s="189">
        <f t="shared" si="56"/>
        <v>38808</v>
      </c>
      <c r="H128" s="189">
        <f t="shared" si="53"/>
        <v>0</v>
      </c>
      <c r="I128" s="186">
        <f t="shared" si="54"/>
        <v>0</v>
      </c>
      <c r="J128" s="185">
        <f t="shared" si="55"/>
        <v>38808</v>
      </c>
      <c r="K128" s="145"/>
      <c r="L128" s="120"/>
      <c r="M128" s="120"/>
      <c r="N128" s="128"/>
      <c r="O128" s="128"/>
      <c r="P128" s="28"/>
      <c r="Q128" s="2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4.25">
      <c r="A129" s="28"/>
      <c r="B129" s="28"/>
      <c r="C129" s="187">
        <f t="shared" si="50"/>
        <v>81</v>
      </c>
      <c r="D129" s="187">
        <f>'Case 1 Income'!D129</f>
        <v>22050</v>
      </c>
      <c r="E129" s="189">
        <f t="shared" si="51"/>
        <v>38808</v>
      </c>
      <c r="F129" s="189">
        <f t="shared" si="56"/>
        <v>0</v>
      </c>
      <c r="G129" s="189">
        <f t="shared" si="56"/>
        <v>38808</v>
      </c>
      <c r="H129" s="189">
        <f t="shared" si="53"/>
        <v>0</v>
      </c>
      <c r="I129" s="186">
        <f t="shared" si="54"/>
        <v>0</v>
      </c>
      <c r="J129" s="185">
        <f t="shared" si="55"/>
        <v>38808</v>
      </c>
      <c r="K129" s="145"/>
      <c r="L129" s="120"/>
      <c r="M129" s="120"/>
      <c r="N129" s="128"/>
      <c r="O129" s="128"/>
      <c r="P129" s="28"/>
      <c r="Q129" s="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4.25">
      <c r="A130" s="28"/>
      <c r="B130" s="28"/>
      <c r="C130" s="187">
        <f t="shared" si="50"/>
        <v>82</v>
      </c>
      <c r="D130" s="187">
        <f>'Case 1 Income'!D130</f>
        <v>22050</v>
      </c>
      <c r="E130" s="189">
        <f t="shared" si="51"/>
        <v>38808</v>
      </c>
      <c r="F130" s="189">
        <f t="shared" si="56"/>
        <v>0</v>
      </c>
      <c r="G130" s="189">
        <f t="shared" si="56"/>
        <v>38808</v>
      </c>
      <c r="H130" s="189">
        <f t="shared" si="53"/>
        <v>0</v>
      </c>
      <c r="I130" s="186">
        <f t="shared" si="54"/>
        <v>0</v>
      </c>
      <c r="J130" s="185">
        <f t="shared" si="55"/>
        <v>38808</v>
      </c>
      <c r="K130" s="145"/>
      <c r="L130" s="120"/>
      <c r="M130" s="120"/>
      <c r="N130" s="128"/>
      <c r="O130" s="128"/>
      <c r="P130" s="28"/>
      <c r="Q130" s="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4.25">
      <c r="A131" s="28"/>
      <c r="B131" s="28"/>
      <c r="C131" s="187">
        <f t="shared" si="50"/>
        <v>83</v>
      </c>
      <c r="D131" s="187">
        <f>'Case 1 Income'!D131</f>
        <v>22050</v>
      </c>
      <c r="E131" s="189">
        <f t="shared" si="51"/>
        <v>38808</v>
      </c>
      <c r="F131" s="189">
        <f t="shared" si="56"/>
        <v>0</v>
      </c>
      <c r="G131" s="189">
        <f t="shared" si="56"/>
        <v>38808</v>
      </c>
      <c r="H131" s="189">
        <f t="shared" si="53"/>
        <v>0</v>
      </c>
      <c r="I131" s="186">
        <f t="shared" si="54"/>
        <v>0</v>
      </c>
      <c r="J131" s="185">
        <f t="shared" si="55"/>
        <v>38808</v>
      </c>
      <c r="K131" s="145"/>
      <c r="L131" s="120"/>
      <c r="M131" s="120"/>
      <c r="N131" s="128"/>
      <c r="O131" s="128"/>
      <c r="P131" s="28"/>
      <c r="Q131" s="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4.25">
      <c r="A132" s="28"/>
      <c r="B132" s="28"/>
      <c r="C132" s="187">
        <f t="shared" si="50"/>
        <v>84</v>
      </c>
      <c r="D132" s="187">
        <f>'Case 1 Income'!D132</f>
        <v>22050</v>
      </c>
      <c r="E132" s="189">
        <f t="shared" si="51"/>
        <v>38808</v>
      </c>
      <c r="F132" s="189">
        <f t="shared" si="56"/>
        <v>0</v>
      </c>
      <c r="G132" s="189">
        <f t="shared" si="56"/>
        <v>38808</v>
      </c>
      <c r="H132" s="189">
        <f t="shared" si="53"/>
        <v>0</v>
      </c>
      <c r="I132" s="186">
        <f t="shared" si="54"/>
        <v>0</v>
      </c>
      <c r="J132" s="185">
        <f t="shared" si="55"/>
        <v>38808</v>
      </c>
      <c r="K132" s="145"/>
      <c r="L132" s="120"/>
      <c r="M132" s="120"/>
      <c r="N132" s="128"/>
      <c r="O132" s="128"/>
      <c r="P132" s="28"/>
      <c r="Q132" s="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ht="14.25">
      <c r="A133" s="28"/>
      <c r="B133" s="28"/>
      <c r="C133" s="187">
        <f t="shared" si="50"/>
        <v>85</v>
      </c>
      <c r="D133" s="187">
        <f>'Case 1 Income'!D133</f>
        <v>22050</v>
      </c>
      <c r="E133" s="189">
        <f t="shared" si="51"/>
        <v>38808</v>
      </c>
      <c r="F133" s="189">
        <f t="shared" si="56"/>
        <v>0</v>
      </c>
      <c r="G133" s="189">
        <f t="shared" si="56"/>
        <v>38808</v>
      </c>
      <c r="H133" s="189">
        <f t="shared" si="53"/>
        <v>0</v>
      </c>
      <c r="I133" s="186">
        <f t="shared" si="54"/>
        <v>0</v>
      </c>
      <c r="J133" s="185">
        <f t="shared" si="55"/>
        <v>38808</v>
      </c>
      <c r="K133" s="145"/>
      <c r="L133" s="120"/>
      <c r="M133" s="120"/>
      <c r="N133" s="128"/>
      <c r="O133" s="128"/>
      <c r="P133" s="28"/>
      <c r="Q133" s="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ht="14.25">
      <c r="A134" s="28"/>
      <c r="B134" s="28"/>
      <c r="C134" s="187">
        <f t="shared" si="50"/>
        <v>86</v>
      </c>
      <c r="D134" s="187">
        <f>'Case 1 Income'!D134</f>
        <v>22050</v>
      </c>
      <c r="E134" s="189">
        <f t="shared" si="51"/>
        <v>38808</v>
      </c>
      <c r="F134" s="189">
        <f t="shared" si="56"/>
        <v>0</v>
      </c>
      <c r="G134" s="189">
        <f t="shared" si="56"/>
        <v>38808</v>
      </c>
      <c r="H134" s="189">
        <f t="shared" si="53"/>
        <v>0</v>
      </c>
      <c r="I134" s="186">
        <f t="shared" si="54"/>
        <v>0</v>
      </c>
      <c r="J134" s="185">
        <f t="shared" si="55"/>
        <v>38808</v>
      </c>
      <c r="K134" s="145"/>
      <c r="L134" s="120"/>
      <c r="M134" s="120"/>
      <c r="N134" s="128"/>
      <c r="O134" s="128"/>
      <c r="P134" s="28"/>
      <c r="Q134" s="2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4.25">
      <c r="A135" s="28"/>
      <c r="B135" s="28"/>
      <c r="C135" s="187">
        <f t="shared" si="50"/>
        <v>87</v>
      </c>
      <c r="D135" s="187">
        <f>'Case 1 Income'!D135</f>
        <v>22050</v>
      </c>
      <c r="E135" s="189">
        <f t="shared" si="51"/>
        <v>38808</v>
      </c>
      <c r="F135" s="189">
        <f t="shared" si="56"/>
        <v>0</v>
      </c>
      <c r="G135" s="189">
        <f t="shared" si="56"/>
        <v>38808</v>
      </c>
      <c r="H135" s="189">
        <f t="shared" si="53"/>
        <v>0</v>
      </c>
      <c r="I135" s="186">
        <f t="shared" si="54"/>
        <v>0</v>
      </c>
      <c r="J135" s="185">
        <f t="shared" si="55"/>
        <v>38808</v>
      </c>
      <c r="K135" s="145"/>
      <c r="L135" s="120"/>
      <c r="M135" s="120"/>
      <c r="N135" s="128"/>
      <c r="O135" s="128"/>
      <c r="P135" s="28"/>
      <c r="Q135" s="2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4.25">
      <c r="A136" s="28"/>
      <c r="B136" s="28"/>
      <c r="C136" s="187">
        <f t="shared" si="50"/>
        <v>88</v>
      </c>
      <c r="D136" s="187">
        <f>'Case 1 Income'!D136</f>
        <v>22050</v>
      </c>
      <c r="E136" s="189">
        <f t="shared" si="51"/>
        <v>38808</v>
      </c>
      <c r="F136" s="189">
        <f t="shared" si="56"/>
        <v>0</v>
      </c>
      <c r="G136" s="189">
        <f t="shared" si="56"/>
        <v>38808</v>
      </c>
      <c r="H136" s="189">
        <f t="shared" si="53"/>
        <v>0</v>
      </c>
      <c r="I136" s="186">
        <f t="shared" si="54"/>
        <v>0</v>
      </c>
      <c r="J136" s="185">
        <f t="shared" si="55"/>
        <v>38808</v>
      </c>
      <c r="K136" s="145"/>
      <c r="L136" s="120"/>
      <c r="M136" s="120"/>
      <c r="N136" s="128"/>
      <c r="O136" s="128"/>
      <c r="P136" s="28"/>
      <c r="Q136" s="2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4.25">
      <c r="A137" s="28"/>
      <c r="B137" s="28"/>
      <c r="C137" s="187">
        <f t="shared" si="50"/>
        <v>89</v>
      </c>
      <c r="D137" s="187">
        <f>'Case 1 Income'!D137</f>
        <v>22050</v>
      </c>
      <c r="E137" s="189">
        <f t="shared" si="51"/>
        <v>38808</v>
      </c>
      <c r="F137" s="189">
        <f t="shared" si="56"/>
        <v>0</v>
      </c>
      <c r="G137" s="189">
        <f t="shared" si="56"/>
        <v>38808</v>
      </c>
      <c r="H137" s="189">
        <f t="shared" si="53"/>
        <v>0</v>
      </c>
      <c r="I137" s="186">
        <f t="shared" si="54"/>
        <v>0</v>
      </c>
      <c r="J137" s="185">
        <f t="shared" si="55"/>
        <v>38808</v>
      </c>
      <c r="K137" s="145"/>
      <c r="L137" s="120"/>
      <c r="M137" s="120"/>
      <c r="N137" s="128"/>
      <c r="O137" s="128"/>
      <c r="P137" s="28"/>
      <c r="Q137" s="2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4.25">
      <c r="A138" s="28"/>
      <c r="B138" s="28"/>
      <c r="C138" s="187">
        <f t="shared" si="50"/>
        <v>90</v>
      </c>
      <c r="D138" s="187">
        <f>'Case 1 Income'!D138</f>
        <v>22050</v>
      </c>
      <c r="E138" s="189">
        <f t="shared" si="51"/>
        <v>38808</v>
      </c>
      <c r="F138" s="189">
        <f t="shared" si="56"/>
        <v>0</v>
      </c>
      <c r="G138" s="189">
        <f t="shared" si="56"/>
        <v>38808</v>
      </c>
      <c r="H138" s="189">
        <f t="shared" si="53"/>
        <v>0</v>
      </c>
      <c r="I138" s="186">
        <f t="shared" si="54"/>
        <v>0</v>
      </c>
      <c r="J138" s="185">
        <f t="shared" si="55"/>
        <v>38808</v>
      </c>
      <c r="K138" s="145"/>
      <c r="L138" s="120"/>
      <c r="M138" s="120"/>
      <c r="N138" s="128"/>
      <c r="O138" s="128"/>
      <c r="P138" s="28"/>
      <c r="Q138" s="2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4.25">
      <c r="A139" s="28"/>
      <c r="B139" s="28"/>
      <c r="C139" s="187">
        <f t="shared" si="50"/>
        <v>91</v>
      </c>
      <c r="D139" s="187">
        <f>'Case 1 Income'!D139</f>
        <v>22050</v>
      </c>
      <c r="E139" s="189">
        <f t="shared" si="51"/>
        <v>38808</v>
      </c>
      <c r="F139" s="189">
        <f t="shared" si="56"/>
        <v>0</v>
      </c>
      <c r="G139" s="189">
        <f t="shared" si="56"/>
        <v>38808</v>
      </c>
      <c r="H139" s="189">
        <f t="shared" si="53"/>
        <v>0</v>
      </c>
      <c r="I139" s="186">
        <f t="shared" si="54"/>
        <v>0</v>
      </c>
      <c r="J139" s="185">
        <f t="shared" si="55"/>
        <v>38808</v>
      </c>
      <c r="K139" s="145"/>
      <c r="L139" s="120"/>
      <c r="M139" s="120"/>
      <c r="N139" s="128"/>
      <c r="O139" s="128"/>
      <c r="P139" s="28"/>
      <c r="Q139" s="2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ht="14.25">
      <c r="A140" s="28"/>
      <c r="B140" s="28"/>
      <c r="C140" s="187">
        <f aca="true" t="shared" si="57" ref="C140:C159">C81</f>
        <v>92</v>
      </c>
      <c r="D140" s="187">
        <f>'Case 1 Income'!D140</f>
        <v>22050</v>
      </c>
      <c r="E140" s="189">
        <f aca="true" t="shared" si="58" ref="E140:E159">K81</f>
        <v>38808</v>
      </c>
      <c r="F140" s="189">
        <f t="shared" si="56"/>
        <v>0</v>
      </c>
      <c r="G140" s="189">
        <f t="shared" si="56"/>
        <v>38808</v>
      </c>
      <c r="H140" s="189">
        <f aca="true" t="shared" si="59" ref="H140:H159">12*(G81+I81)</f>
        <v>0</v>
      </c>
      <c r="I140" s="186">
        <f t="shared" si="54"/>
        <v>0</v>
      </c>
      <c r="J140" s="185">
        <f t="shared" si="55"/>
        <v>38808</v>
      </c>
      <c r="K140" s="145"/>
      <c r="L140" s="120"/>
      <c r="M140" s="120"/>
      <c r="N140" s="128"/>
      <c r="O140" s="128"/>
      <c r="P140" s="28"/>
      <c r="Q140" s="2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ht="14.25">
      <c r="A141" s="28"/>
      <c r="B141" s="28"/>
      <c r="C141" s="187">
        <f t="shared" si="57"/>
        <v>93</v>
      </c>
      <c r="D141" s="187">
        <f>'Case 1 Income'!D141</f>
        <v>0</v>
      </c>
      <c r="E141" s="189">
        <f t="shared" si="58"/>
        <v>0</v>
      </c>
      <c r="F141" s="189">
        <f t="shared" si="56"/>
        <v>0</v>
      </c>
      <c r="G141" s="189">
        <f t="shared" si="56"/>
        <v>0</v>
      </c>
      <c r="H141" s="189">
        <f t="shared" si="59"/>
        <v>0</v>
      </c>
      <c r="I141" s="186">
        <f t="shared" si="54"/>
        <v>0</v>
      </c>
      <c r="J141" s="185">
        <f t="shared" si="55"/>
        <v>0</v>
      </c>
      <c r="K141" s="145"/>
      <c r="L141" s="120"/>
      <c r="M141" s="120"/>
      <c r="N141" s="128"/>
      <c r="O141" s="128"/>
      <c r="P141" s="28"/>
      <c r="Q141" s="2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4.25">
      <c r="A142" s="28"/>
      <c r="B142" s="28"/>
      <c r="C142" s="187">
        <f t="shared" si="57"/>
        <v>94</v>
      </c>
      <c r="D142" s="187">
        <f>'Case 1 Income'!D142</f>
        <v>0</v>
      </c>
      <c r="E142" s="189">
        <f t="shared" si="58"/>
        <v>0</v>
      </c>
      <c r="F142" s="189">
        <f t="shared" si="56"/>
        <v>0</v>
      </c>
      <c r="G142" s="189">
        <f t="shared" si="56"/>
        <v>0</v>
      </c>
      <c r="H142" s="189">
        <f t="shared" si="59"/>
        <v>0</v>
      </c>
      <c r="I142" s="186">
        <f t="shared" si="54"/>
        <v>0</v>
      </c>
      <c r="J142" s="185">
        <f t="shared" si="55"/>
        <v>0</v>
      </c>
      <c r="K142" s="145"/>
      <c r="L142" s="120"/>
      <c r="M142" s="120"/>
      <c r="N142" s="128"/>
      <c r="O142" s="128"/>
      <c r="P142" s="28"/>
      <c r="Q142" s="2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4.25">
      <c r="A143" s="28"/>
      <c r="B143" s="28"/>
      <c r="C143" s="187">
        <f t="shared" si="57"/>
        <v>95</v>
      </c>
      <c r="D143" s="187">
        <f>'Case 1 Income'!D143</f>
        <v>0</v>
      </c>
      <c r="E143" s="189">
        <f t="shared" si="58"/>
        <v>0</v>
      </c>
      <c r="F143" s="189">
        <f t="shared" si="56"/>
        <v>0</v>
      </c>
      <c r="G143" s="189">
        <f t="shared" si="56"/>
        <v>0</v>
      </c>
      <c r="H143" s="189">
        <f t="shared" si="59"/>
        <v>0</v>
      </c>
      <c r="I143" s="186">
        <f t="shared" si="54"/>
        <v>0</v>
      </c>
      <c r="J143" s="185">
        <f t="shared" si="55"/>
        <v>0</v>
      </c>
      <c r="K143" s="145"/>
      <c r="L143" s="120"/>
      <c r="M143" s="120"/>
      <c r="N143" s="128"/>
      <c r="O143" s="128"/>
      <c r="P143" s="28"/>
      <c r="Q143" s="2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4.25">
      <c r="A144" s="28"/>
      <c r="B144" s="28"/>
      <c r="C144" s="187">
        <f t="shared" si="57"/>
        <v>96</v>
      </c>
      <c r="D144" s="187">
        <f>'Case 1 Income'!D144</f>
        <v>0</v>
      </c>
      <c r="E144" s="189">
        <f t="shared" si="58"/>
        <v>0</v>
      </c>
      <c r="F144" s="189">
        <f t="shared" si="56"/>
        <v>0</v>
      </c>
      <c r="G144" s="189">
        <f t="shared" si="56"/>
        <v>0</v>
      </c>
      <c r="H144" s="189">
        <f t="shared" si="59"/>
        <v>0</v>
      </c>
      <c r="I144" s="186">
        <f t="shared" si="54"/>
        <v>0</v>
      </c>
      <c r="J144" s="185">
        <f t="shared" si="55"/>
        <v>0</v>
      </c>
      <c r="K144" s="145"/>
      <c r="L144" s="120"/>
      <c r="M144" s="120"/>
      <c r="N144" s="128"/>
      <c r="O144" s="128"/>
      <c r="P144" s="28"/>
      <c r="Q144" s="2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4.25">
      <c r="A145" s="28"/>
      <c r="B145" s="28"/>
      <c r="C145" s="187">
        <f t="shared" si="57"/>
        <v>97</v>
      </c>
      <c r="D145" s="187">
        <f>'Case 1 Income'!D145</f>
        <v>0</v>
      </c>
      <c r="E145" s="189">
        <f t="shared" si="58"/>
        <v>0</v>
      </c>
      <c r="F145" s="189">
        <f t="shared" si="56"/>
        <v>0</v>
      </c>
      <c r="G145" s="189">
        <f t="shared" si="56"/>
        <v>0</v>
      </c>
      <c r="H145" s="189">
        <f t="shared" si="59"/>
        <v>0</v>
      </c>
      <c r="I145" s="186">
        <f t="shared" si="54"/>
        <v>0</v>
      </c>
      <c r="J145" s="185">
        <f t="shared" si="55"/>
        <v>0</v>
      </c>
      <c r="K145" s="145"/>
      <c r="L145" s="120"/>
      <c r="M145" s="120"/>
      <c r="N145" s="128"/>
      <c r="O145" s="128"/>
      <c r="P145" s="28"/>
      <c r="Q145" s="2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4.25">
      <c r="A146" s="28"/>
      <c r="B146" s="28"/>
      <c r="C146" s="187">
        <f t="shared" si="57"/>
        <v>98</v>
      </c>
      <c r="D146" s="187">
        <f>'Case 1 Income'!D146</f>
        <v>0</v>
      </c>
      <c r="E146" s="189">
        <f t="shared" si="58"/>
        <v>0</v>
      </c>
      <c r="F146" s="189">
        <f t="shared" si="56"/>
        <v>0</v>
      </c>
      <c r="G146" s="189">
        <f t="shared" si="56"/>
        <v>0</v>
      </c>
      <c r="H146" s="189">
        <f t="shared" si="59"/>
        <v>0</v>
      </c>
      <c r="I146" s="186">
        <f t="shared" si="54"/>
        <v>0</v>
      </c>
      <c r="J146" s="185">
        <f t="shared" si="55"/>
        <v>0</v>
      </c>
      <c r="K146" s="145"/>
      <c r="L146" s="120"/>
      <c r="M146" s="120"/>
      <c r="N146" s="128"/>
      <c r="O146" s="128"/>
      <c r="P146" s="28"/>
      <c r="Q146" s="2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:27" ht="14.25">
      <c r="A147" s="28"/>
      <c r="B147" s="28"/>
      <c r="C147" s="187">
        <f t="shared" si="57"/>
        <v>99</v>
      </c>
      <c r="D147" s="187">
        <f>'Case 1 Income'!D147</f>
        <v>0</v>
      </c>
      <c r="E147" s="189">
        <f t="shared" si="58"/>
        <v>0</v>
      </c>
      <c r="F147" s="189">
        <f t="shared" si="56"/>
        <v>0</v>
      </c>
      <c r="G147" s="189">
        <f t="shared" si="56"/>
        <v>0</v>
      </c>
      <c r="H147" s="189">
        <f t="shared" si="59"/>
        <v>0</v>
      </c>
      <c r="I147" s="186">
        <f t="shared" si="54"/>
        <v>0</v>
      </c>
      <c r="J147" s="185">
        <f t="shared" si="55"/>
        <v>0</v>
      </c>
      <c r="K147" s="145"/>
      <c r="L147" s="120"/>
      <c r="M147" s="120"/>
      <c r="N147" s="128"/>
      <c r="O147" s="128"/>
      <c r="P147" s="28"/>
      <c r="Q147" s="2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:27" ht="14.25">
      <c r="A148" s="28"/>
      <c r="B148" s="28"/>
      <c r="C148" s="187">
        <f t="shared" si="57"/>
        <v>100</v>
      </c>
      <c r="D148" s="187">
        <f>'Case 1 Income'!D148</f>
        <v>0</v>
      </c>
      <c r="E148" s="189">
        <f t="shared" si="58"/>
        <v>0</v>
      </c>
      <c r="F148" s="189">
        <f aca="true" t="shared" si="60" ref="F148:G159">12*E89</f>
        <v>0</v>
      </c>
      <c r="G148" s="189">
        <f t="shared" si="60"/>
        <v>0</v>
      </c>
      <c r="H148" s="189">
        <f t="shared" si="59"/>
        <v>0</v>
      </c>
      <c r="I148" s="186">
        <f t="shared" si="54"/>
        <v>0</v>
      </c>
      <c r="J148" s="185">
        <f t="shared" si="55"/>
        <v>0</v>
      </c>
      <c r="K148" s="145"/>
      <c r="L148" s="120"/>
      <c r="M148" s="120"/>
      <c r="N148" s="128"/>
      <c r="O148" s="128"/>
      <c r="P148" s="28"/>
      <c r="Q148" s="2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4.25">
      <c r="A149" s="28"/>
      <c r="B149" s="28"/>
      <c r="C149" s="187">
        <f t="shared" si="57"/>
        <v>101</v>
      </c>
      <c r="D149" s="187">
        <f>'Case 1 Income'!D149</f>
        <v>0</v>
      </c>
      <c r="E149" s="189">
        <f t="shared" si="58"/>
        <v>0</v>
      </c>
      <c r="F149" s="189">
        <f t="shared" si="60"/>
        <v>0</v>
      </c>
      <c r="G149" s="189">
        <f t="shared" si="60"/>
        <v>0</v>
      </c>
      <c r="H149" s="189">
        <f t="shared" si="59"/>
        <v>0</v>
      </c>
      <c r="I149" s="186">
        <f t="shared" si="54"/>
        <v>0</v>
      </c>
      <c r="J149" s="185">
        <f t="shared" si="55"/>
        <v>0</v>
      </c>
      <c r="K149" s="145"/>
      <c r="L149" s="120"/>
      <c r="M149" s="120"/>
      <c r="N149" s="128"/>
      <c r="O149" s="128"/>
      <c r="P149" s="28"/>
      <c r="Q149" s="2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4.25">
      <c r="A150" s="28"/>
      <c r="B150" s="28"/>
      <c r="C150" s="187">
        <f t="shared" si="57"/>
        <v>102</v>
      </c>
      <c r="D150" s="187">
        <f>'Case 1 Income'!D150</f>
        <v>0</v>
      </c>
      <c r="E150" s="189">
        <f t="shared" si="58"/>
        <v>0</v>
      </c>
      <c r="F150" s="189">
        <f t="shared" si="60"/>
        <v>0</v>
      </c>
      <c r="G150" s="189">
        <f t="shared" si="60"/>
        <v>0</v>
      </c>
      <c r="H150" s="189">
        <f t="shared" si="59"/>
        <v>0</v>
      </c>
      <c r="I150" s="186">
        <f t="shared" si="54"/>
        <v>0</v>
      </c>
      <c r="J150" s="185">
        <f t="shared" si="55"/>
        <v>0</v>
      </c>
      <c r="K150" s="145"/>
      <c r="L150" s="120"/>
      <c r="M150" s="120"/>
      <c r="N150" s="128"/>
      <c r="O150" s="128"/>
      <c r="P150" s="28"/>
      <c r="Q150" s="2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4.25">
      <c r="A151" s="28"/>
      <c r="B151" s="28"/>
      <c r="C151" s="187">
        <f t="shared" si="57"/>
        <v>103</v>
      </c>
      <c r="D151" s="187">
        <f>'Case 1 Income'!D151</f>
        <v>0</v>
      </c>
      <c r="E151" s="189">
        <f t="shared" si="58"/>
        <v>0</v>
      </c>
      <c r="F151" s="189">
        <f t="shared" si="60"/>
        <v>0</v>
      </c>
      <c r="G151" s="189">
        <f t="shared" si="60"/>
        <v>0</v>
      </c>
      <c r="H151" s="189">
        <f t="shared" si="59"/>
        <v>0</v>
      </c>
      <c r="I151" s="186">
        <f t="shared" si="54"/>
        <v>0</v>
      </c>
      <c r="J151" s="185">
        <f t="shared" si="55"/>
        <v>0</v>
      </c>
      <c r="K151" s="145"/>
      <c r="L151" s="120"/>
      <c r="M151" s="120"/>
      <c r="N151" s="128"/>
      <c r="O151" s="128"/>
      <c r="P151" s="28"/>
      <c r="Q151" s="2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4.25">
      <c r="A152" s="28"/>
      <c r="B152" s="28"/>
      <c r="C152" s="187">
        <f t="shared" si="57"/>
        <v>104</v>
      </c>
      <c r="D152" s="187">
        <f>'Case 1 Income'!D152</f>
        <v>0</v>
      </c>
      <c r="E152" s="189">
        <f t="shared" si="58"/>
        <v>0</v>
      </c>
      <c r="F152" s="189">
        <f t="shared" si="60"/>
        <v>0</v>
      </c>
      <c r="G152" s="189">
        <f t="shared" si="60"/>
        <v>0</v>
      </c>
      <c r="H152" s="189">
        <f t="shared" si="59"/>
        <v>0</v>
      </c>
      <c r="I152" s="186">
        <f t="shared" si="54"/>
        <v>0</v>
      </c>
      <c r="J152" s="185">
        <f t="shared" si="55"/>
        <v>0</v>
      </c>
      <c r="K152" s="145"/>
      <c r="L152" s="120"/>
      <c r="M152" s="120"/>
      <c r="N152" s="128"/>
      <c r="O152" s="128"/>
      <c r="P152" s="28"/>
      <c r="Q152" s="2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4.25">
      <c r="A153" s="28"/>
      <c r="B153" s="28"/>
      <c r="C153" s="187">
        <f t="shared" si="57"/>
        <v>105</v>
      </c>
      <c r="D153" s="187">
        <f>'Case 1 Income'!D153</f>
        <v>0</v>
      </c>
      <c r="E153" s="189">
        <f t="shared" si="58"/>
        <v>0</v>
      </c>
      <c r="F153" s="189">
        <f t="shared" si="60"/>
        <v>0</v>
      </c>
      <c r="G153" s="189">
        <f t="shared" si="60"/>
        <v>0</v>
      </c>
      <c r="H153" s="189">
        <f t="shared" si="59"/>
        <v>0</v>
      </c>
      <c r="I153" s="186">
        <f t="shared" si="54"/>
        <v>0</v>
      </c>
      <c r="J153" s="185">
        <f t="shared" si="55"/>
        <v>0</v>
      </c>
      <c r="K153" s="145"/>
      <c r="L153" s="120"/>
      <c r="M153" s="120"/>
      <c r="N153" s="128"/>
      <c r="O153" s="128"/>
      <c r="P153" s="28"/>
      <c r="Q153" s="2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14.25">
      <c r="A154" s="28"/>
      <c r="B154" s="28"/>
      <c r="C154" s="187">
        <f t="shared" si="57"/>
        <v>106</v>
      </c>
      <c r="D154" s="187">
        <f>'Case 1 Income'!D154</f>
        <v>0</v>
      </c>
      <c r="E154" s="189">
        <f t="shared" si="58"/>
        <v>0</v>
      </c>
      <c r="F154" s="189">
        <f t="shared" si="60"/>
        <v>0</v>
      </c>
      <c r="G154" s="189">
        <f t="shared" si="60"/>
        <v>0</v>
      </c>
      <c r="H154" s="189">
        <f t="shared" si="59"/>
        <v>0</v>
      </c>
      <c r="I154" s="186">
        <f t="shared" si="54"/>
        <v>0</v>
      </c>
      <c r="J154" s="185">
        <f t="shared" si="55"/>
        <v>0</v>
      </c>
      <c r="K154" s="145"/>
      <c r="L154" s="120"/>
      <c r="M154" s="120"/>
      <c r="N154" s="128"/>
      <c r="O154" s="128"/>
      <c r="P154" s="28"/>
      <c r="Q154" s="2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17" ht="14.25">
      <c r="A155" s="28"/>
      <c r="B155" s="28"/>
      <c r="C155" s="187">
        <f t="shared" si="57"/>
        <v>107</v>
      </c>
      <c r="D155" s="187">
        <f>'Case 1 Income'!D155</f>
        <v>0</v>
      </c>
      <c r="E155" s="189">
        <f t="shared" si="58"/>
        <v>0</v>
      </c>
      <c r="F155" s="189">
        <f t="shared" si="60"/>
        <v>0</v>
      </c>
      <c r="G155" s="189">
        <f t="shared" si="60"/>
        <v>0</v>
      </c>
      <c r="H155" s="189">
        <f t="shared" si="59"/>
        <v>0</v>
      </c>
      <c r="I155" s="186">
        <f t="shared" si="54"/>
        <v>0</v>
      </c>
      <c r="J155" s="185">
        <f t="shared" si="55"/>
        <v>0</v>
      </c>
      <c r="K155" s="145"/>
      <c r="L155" s="120"/>
      <c r="M155" s="120"/>
      <c r="N155" s="128"/>
      <c r="O155" s="128"/>
      <c r="P155" s="28"/>
      <c r="Q155" s="28"/>
    </row>
    <row r="156" spans="1:17" ht="14.25">
      <c r="A156" s="28"/>
      <c r="B156" s="28"/>
      <c r="C156" s="187">
        <f t="shared" si="57"/>
        <v>108</v>
      </c>
      <c r="D156" s="187">
        <f>'Case 1 Income'!D156</f>
        <v>0</v>
      </c>
      <c r="E156" s="189">
        <f t="shared" si="58"/>
        <v>0</v>
      </c>
      <c r="F156" s="189">
        <f t="shared" si="60"/>
        <v>0</v>
      </c>
      <c r="G156" s="189">
        <f t="shared" si="60"/>
        <v>0</v>
      </c>
      <c r="H156" s="189">
        <f t="shared" si="59"/>
        <v>0</v>
      </c>
      <c r="I156" s="186">
        <f t="shared" si="54"/>
        <v>0</v>
      </c>
      <c r="J156" s="185">
        <f t="shared" si="55"/>
        <v>0</v>
      </c>
      <c r="K156" s="145"/>
      <c r="L156" s="120"/>
      <c r="M156" s="120"/>
      <c r="N156" s="128"/>
      <c r="O156" s="128"/>
      <c r="P156" s="28"/>
      <c r="Q156" s="28"/>
    </row>
    <row r="157" spans="1:17" ht="14.25">
      <c r="A157" s="28"/>
      <c r="B157" s="28"/>
      <c r="C157" s="187">
        <f t="shared" si="57"/>
        <v>109</v>
      </c>
      <c r="D157" s="187">
        <f>'Case 1 Income'!D157</f>
        <v>0</v>
      </c>
      <c r="E157" s="189">
        <f t="shared" si="58"/>
        <v>0</v>
      </c>
      <c r="F157" s="189">
        <f t="shared" si="60"/>
        <v>0</v>
      </c>
      <c r="G157" s="189">
        <f t="shared" si="60"/>
        <v>0</v>
      </c>
      <c r="H157" s="189">
        <f t="shared" si="59"/>
        <v>0</v>
      </c>
      <c r="I157" s="186">
        <f t="shared" si="54"/>
        <v>0</v>
      </c>
      <c r="J157" s="185">
        <f t="shared" si="55"/>
        <v>0</v>
      </c>
      <c r="K157" s="145"/>
      <c r="L157" s="120"/>
      <c r="M157" s="120"/>
      <c r="N157" s="128"/>
      <c r="O157" s="128"/>
      <c r="P157" s="28"/>
      <c r="Q157" s="28"/>
    </row>
    <row r="158" spans="1:17" ht="14.25">
      <c r="A158" s="28"/>
      <c r="B158" s="28"/>
      <c r="C158" s="187">
        <f t="shared" si="57"/>
        <v>110</v>
      </c>
      <c r="D158" s="187">
        <f>'Case 1 Income'!D158</f>
        <v>0</v>
      </c>
      <c r="E158" s="189">
        <f t="shared" si="58"/>
        <v>0</v>
      </c>
      <c r="F158" s="189">
        <f t="shared" si="60"/>
        <v>0</v>
      </c>
      <c r="G158" s="189">
        <f t="shared" si="60"/>
        <v>0</v>
      </c>
      <c r="H158" s="189">
        <f t="shared" si="59"/>
        <v>0</v>
      </c>
      <c r="I158" s="186">
        <f t="shared" si="54"/>
        <v>0</v>
      </c>
      <c r="J158" s="185">
        <f t="shared" si="55"/>
        <v>0</v>
      </c>
      <c r="K158" s="145"/>
      <c r="L158" s="120"/>
      <c r="M158" s="120"/>
      <c r="N158" s="128"/>
      <c r="O158" s="128"/>
      <c r="P158" s="28"/>
      <c r="Q158" s="28"/>
    </row>
    <row r="159" spans="1:17" ht="14.25">
      <c r="A159" s="28"/>
      <c r="B159" s="28"/>
      <c r="C159" s="187">
        <f t="shared" si="57"/>
        <v>111</v>
      </c>
      <c r="D159" s="187">
        <f>'Case 1 Income'!D159</f>
        <v>0</v>
      </c>
      <c r="E159" s="189">
        <f t="shared" si="58"/>
        <v>0</v>
      </c>
      <c r="F159" s="189">
        <f t="shared" si="60"/>
        <v>0</v>
      </c>
      <c r="G159" s="189">
        <f t="shared" si="60"/>
        <v>0</v>
      </c>
      <c r="H159" s="189">
        <f t="shared" si="59"/>
        <v>0</v>
      </c>
      <c r="I159" s="186">
        <f t="shared" si="54"/>
        <v>0</v>
      </c>
      <c r="J159" s="185">
        <f t="shared" si="55"/>
        <v>0</v>
      </c>
      <c r="K159" s="145"/>
      <c r="L159" s="120"/>
      <c r="M159" s="120"/>
      <c r="N159" s="128"/>
      <c r="O159" s="128"/>
      <c r="P159" s="28"/>
      <c r="Q159" s="28"/>
    </row>
    <row r="160" spans="1:12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127"/>
      <c r="L160" s="28"/>
    </row>
    <row r="161" spans="1:13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127"/>
      <c r="M161" s="52"/>
    </row>
    <row r="162" spans="1:13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127"/>
      <c r="M162" s="52"/>
    </row>
    <row r="163" ht="14.25">
      <c r="M163" s="52"/>
    </row>
    <row r="164" ht="14.25">
      <c r="M164" s="52"/>
    </row>
    <row r="165" ht="14.25">
      <c r="M165" s="52"/>
    </row>
    <row r="166" ht="14.25">
      <c r="M166" s="52"/>
    </row>
    <row r="167" ht="14.25">
      <c r="M167" s="52"/>
    </row>
    <row r="168" ht="14.25">
      <c r="M168" s="52"/>
    </row>
    <row r="169" ht="14.25">
      <c r="M169" s="52"/>
    </row>
    <row r="170" ht="14.25">
      <c r="M170" s="52"/>
    </row>
    <row r="171" ht="14.25">
      <c r="M171" s="52"/>
    </row>
    <row r="172" ht="14.25">
      <c r="M172" s="52"/>
    </row>
    <row r="173" ht="14.25">
      <c r="M173" s="52"/>
    </row>
    <row r="174" ht="14.25">
      <c r="M174" s="52"/>
    </row>
    <row r="175" ht="14.25">
      <c r="M175" s="52"/>
    </row>
    <row r="176" ht="14.25">
      <c r="M176" s="52"/>
    </row>
    <row r="177" ht="14.25">
      <c r="M177" s="52"/>
    </row>
    <row r="178" ht="14.25">
      <c r="M178" s="52"/>
    </row>
    <row r="179" ht="14.25">
      <c r="M179" s="52"/>
    </row>
    <row r="180" ht="14.25">
      <c r="M180" s="52"/>
    </row>
    <row r="181" ht="14.25">
      <c r="M181" s="52"/>
    </row>
    <row r="182" ht="14.25">
      <c r="M182" s="52"/>
    </row>
    <row r="183" ht="14.25">
      <c r="M183" s="52"/>
    </row>
    <row r="184" ht="14.25">
      <c r="M184" s="52"/>
    </row>
    <row r="185" ht="14.25">
      <c r="M185" s="52"/>
    </row>
    <row r="186" ht="14.25">
      <c r="M186" s="52"/>
    </row>
    <row r="187" ht="14.25">
      <c r="M187" s="52"/>
    </row>
    <row r="188" ht="14.25">
      <c r="M188" s="52"/>
    </row>
    <row r="189" ht="14.25">
      <c r="M189" s="52"/>
    </row>
    <row r="190" ht="14.25">
      <c r="M190" s="52"/>
    </row>
    <row r="191" ht="14.25">
      <c r="M191" s="52"/>
    </row>
    <row r="192" ht="14.25">
      <c r="M192" s="52"/>
    </row>
    <row r="193" ht="14.25">
      <c r="M193" s="52"/>
    </row>
    <row r="194" ht="14.25">
      <c r="M194" s="52"/>
    </row>
    <row r="195" ht="14.25">
      <c r="M195" s="52"/>
    </row>
    <row r="196" ht="14.25">
      <c r="M196" s="52"/>
    </row>
    <row r="197" ht="14.25">
      <c r="M197" s="52"/>
    </row>
    <row r="198" ht="14.25">
      <c r="M198" s="52"/>
    </row>
    <row r="199" ht="14.25">
      <c r="M199" s="52"/>
    </row>
    <row r="200" ht="14.25">
      <c r="M200" s="52"/>
    </row>
    <row r="201" ht="14.25">
      <c r="M201" s="52"/>
    </row>
    <row r="202" ht="14.25">
      <c r="M202" s="52"/>
    </row>
    <row r="203" ht="14.25">
      <c r="M203" s="52"/>
    </row>
    <row r="204" ht="14.25">
      <c r="M204" s="52"/>
    </row>
    <row r="205" ht="14.25">
      <c r="M205" s="52"/>
    </row>
    <row r="206" ht="14.25">
      <c r="M206" s="52"/>
    </row>
    <row r="207" ht="14.25">
      <c r="M207" s="52"/>
    </row>
    <row r="208" ht="14.25">
      <c r="M208" s="52"/>
    </row>
    <row r="209" ht="14.25">
      <c r="M209" s="52"/>
    </row>
    <row r="210" ht="14.25">
      <c r="M210" s="52"/>
    </row>
    <row r="211" ht="14.25">
      <c r="M211" s="52"/>
    </row>
    <row r="212" ht="14.25">
      <c r="M212" s="52"/>
    </row>
    <row r="213" ht="14.25">
      <c r="M213" s="52"/>
    </row>
    <row r="214" ht="14.25">
      <c r="M214" s="52"/>
    </row>
    <row r="215" ht="14.25">
      <c r="M215" s="52"/>
    </row>
    <row r="216" ht="14.25">
      <c r="M216" s="52"/>
    </row>
    <row r="217" ht="14.25">
      <c r="M217" s="52"/>
    </row>
    <row r="218" ht="14.25">
      <c r="M218" s="52"/>
    </row>
    <row r="219" ht="14.25">
      <c r="M219" s="52"/>
    </row>
    <row r="220" ht="14.25">
      <c r="M220" s="52"/>
    </row>
    <row r="221" ht="14.25">
      <c r="M221" s="52"/>
    </row>
    <row r="222" ht="14.25">
      <c r="M222" s="52"/>
    </row>
    <row r="223" ht="14.25">
      <c r="M223" s="52"/>
    </row>
    <row r="224" ht="14.25">
      <c r="M224" s="52"/>
    </row>
    <row r="225" ht="14.25">
      <c r="M225" s="52"/>
    </row>
    <row r="226" ht="14.25">
      <c r="M226" s="52"/>
    </row>
    <row r="227" ht="14.25">
      <c r="M227" s="52"/>
    </row>
    <row r="228" ht="14.25">
      <c r="M228" s="52"/>
    </row>
    <row r="229" ht="14.25">
      <c r="M229" s="52"/>
    </row>
    <row r="230" ht="14.25">
      <c r="M230" s="52"/>
    </row>
    <row r="231" ht="14.25">
      <c r="M231" s="52"/>
    </row>
    <row r="232" ht="14.25">
      <c r="M232" s="52"/>
    </row>
    <row r="233" ht="14.25">
      <c r="M233" s="52"/>
    </row>
    <row r="234" ht="14.25">
      <c r="M234" s="52"/>
    </row>
  </sheetData>
  <sheetProtection password="EA69" sheet="1" objects="1" scenarios="1"/>
  <conditionalFormatting sqref="F14 F16:F20">
    <cfRule type="cellIs" priority="43" dxfId="19" operator="equal" stopIfTrue="1">
      <formula>TRUE</formula>
    </cfRule>
  </conditionalFormatting>
  <conditionalFormatting sqref="D22:E22">
    <cfRule type="cellIs" priority="40" dxfId="19" operator="equal" stopIfTrue="1">
      <formula>0</formula>
    </cfRule>
  </conditionalFormatting>
  <conditionalFormatting sqref="E12 E14 E16:E17 E19:E21">
    <cfRule type="expression" priority="34" dxfId="1" stopIfTrue="1">
      <formula>"if('Case 1 Income'!$D$4=1)"</formula>
    </cfRule>
  </conditionalFormatting>
  <conditionalFormatting sqref="I14">
    <cfRule type="cellIs" priority="29" dxfId="19" operator="equal" stopIfTrue="1">
      <formula>0</formula>
    </cfRule>
  </conditionalFormatting>
  <conditionalFormatting sqref="E14 E16:E17 E19:E20">
    <cfRule type="expression" priority="24" dxfId="19" stopIfTrue="1">
      <formula>IF($G$18=1,1,0)</formula>
    </cfRule>
  </conditionalFormatting>
  <conditionalFormatting sqref="E12">
    <cfRule type="expression" priority="22" dxfId="19" stopIfTrue="1">
      <formula>IF($G$18=1,1,0)</formula>
    </cfRule>
  </conditionalFormatting>
  <conditionalFormatting sqref="E13">
    <cfRule type="expression" priority="21" dxfId="1" stopIfTrue="1">
      <formula>"if('Case 1 Income'!$D$4=1)"</formula>
    </cfRule>
  </conditionalFormatting>
  <conditionalFormatting sqref="E13">
    <cfRule type="expression" priority="20" dxfId="19" stopIfTrue="1">
      <formula>IF($G$18=1,1,0)</formula>
    </cfRule>
  </conditionalFormatting>
  <conditionalFormatting sqref="F15">
    <cfRule type="cellIs" priority="5" dxfId="19" operator="equal" stopIfTrue="1">
      <formula>0</formula>
    </cfRule>
  </conditionalFormatting>
  <conditionalFormatting sqref="G20">
    <cfRule type="cellIs" priority="4" dxfId="19" operator="equal" stopIfTrue="1">
      <formula>0</formula>
    </cfRule>
  </conditionalFormatting>
  <conditionalFormatting sqref="G21">
    <cfRule type="cellIs" priority="3" dxfId="19" operator="equal" stopIfTrue="1">
      <formula>0</formula>
    </cfRule>
  </conditionalFormatting>
  <conditionalFormatting sqref="E18">
    <cfRule type="expression" priority="2" dxfId="1" stopIfTrue="1">
      <formula>"if('Case 1 Income'!$D$4=1)"</formula>
    </cfRule>
  </conditionalFormatting>
  <conditionalFormatting sqref="E18">
    <cfRule type="expression" priority="1" dxfId="19" stopIfTrue="1">
      <formula>IF($G$18=1,1,0)</formula>
    </cfRule>
  </conditionalFormatting>
  <dataValidations count="3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" allowBlank="1" showInputMessage="1" showErrorMessage="1" error="Must be whole number greater than 70" sqref="D17:E17 E18">
      <formula1>70</formula1>
    </dataValidation>
    <dataValidation allowBlank="1" showInputMessage="1" showErrorMessage="1" error="Must be whole number from 62 to 70" sqref="D15"/>
  </dataValidations>
  <printOptions/>
  <pageMargins left="0.7" right="0.7" top="0.75" bottom="0.75" header="0.3" footer="0.3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 Hebeler</cp:lastModifiedBy>
  <cp:lastPrinted>2012-10-31T12:56:03Z</cp:lastPrinted>
  <dcterms:created xsi:type="dcterms:W3CDTF">2012-09-08T12:13:43Z</dcterms:created>
  <dcterms:modified xsi:type="dcterms:W3CDTF">2016-04-26T18:25:29Z</dcterms:modified>
  <cp:category/>
  <cp:version/>
  <cp:contentType/>
  <cp:contentStatus/>
</cp:coreProperties>
</file>