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245" windowHeight="6735" activeTab="0"/>
  </bookViews>
  <sheets>
    <sheet name="Important Considerations" sheetId="1" r:id="rId1"/>
    <sheet name="Inputs and Results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<sst xmlns="http://schemas.openxmlformats.org/spreadsheetml/2006/main" count="328" uniqueCount="288">
  <si>
    <t>the tax increase after the exclusion is exhausted in a non-deferred-tax annuity.</t>
  </si>
  <si>
    <t>Immediate annuities are a special kind of investment in which you put down a sum of money, generally</t>
  </si>
  <si>
    <t>Fixed</t>
  </si>
  <si>
    <t>Inflation</t>
  </si>
  <si>
    <t>Return</t>
  </si>
  <si>
    <t>Exclusion</t>
  </si>
  <si>
    <t>Spending</t>
  </si>
  <si>
    <t>Age</t>
  </si>
  <si>
    <t>Fixed exclusion</t>
  </si>
  <si>
    <t>Annuity Payments</t>
  </si>
  <si>
    <t>Tax Rate</t>
  </si>
  <si>
    <t>Full COLA</t>
  </si>
  <si>
    <t>Balances</t>
  </si>
  <si>
    <t>Fixed Pmt</t>
  </si>
  <si>
    <t>Age for owner to die</t>
  </si>
  <si>
    <t>Survivor's spending %</t>
  </si>
  <si>
    <t>Initial spending</t>
  </si>
  <si>
    <t>Initial balance before buying annuity</t>
  </si>
  <si>
    <t>Cost of immediate annuity</t>
  </si>
  <si>
    <t>Initial monthly income from annuity with fixed % increase</t>
  </si>
  <si>
    <t>Initial monthly income from annuity with fixed payments</t>
  </si>
  <si>
    <t>Initial monthly income from annuity with full COLA</t>
  </si>
  <si>
    <t>%/Yr Adj.</t>
  </si>
  <si>
    <t>No Annuity</t>
  </si>
  <si>
    <t>Owner's age now</t>
  </si>
  <si>
    <t>%/Yr. Adj.</t>
  </si>
  <si>
    <t>%/Year Adjustment</t>
  </si>
  <si>
    <t>You will want to vary the following:</t>
  </si>
  <si>
    <t>None</t>
  </si>
  <si>
    <t>Annual Adjustment:</t>
  </si>
  <si>
    <t>Initial annual spending</t>
  </si>
  <si>
    <t>Disclaimer</t>
  </si>
  <si>
    <t>THIS PROGRAM IS PRESENTED "AS IS".  THE AUTHOR AND PUBLISHER MAKE NO GUARANTEES OR</t>
  </si>
  <si>
    <t>WARRANTIES OF ANY KIND REGARDING THIS PROGRAM OR THE LEGALITY OR CORRECTNESS OF</t>
  </si>
  <si>
    <t>ANY DOCUMENT OR PLAN CREATED HEREWITH.  THEY DO NOT GUARANTEE OR WARRANT THAT</t>
  </si>
  <si>
    <t>THIS PROGRAM WILL MEET YOUR REQUIREMENTS, ACHIEVE YOUR INTENDED RESULTS, OR BE</t>
  </si>
  <si>
    <t>WITHOUT DEFECT OR ERROR.  YOU ASSUME ALL RISKS REGARDING THE LEGALITY AND USE OR</t>
  </si>
  <si>
    <t>MISUSE OF THE PROGRAM OR PLAN CREATED FROM IT.  THE AUTHOR AND PUBLISHER</t>
  </si>
  <si>
    <t>EXPRESSLY DISCLAIM ANY AND ALL IMPLIED WARRANTIES OR MERCHANTABILITY AND FITNESS FOR</t>
  </si>
  <si>
    <t>A PARTICULAR USE.  UNDER NO CIRCUMSTANCE SHALL THEY BE LIABLE FOR FINANCIAL OUTCOMES</t>
  </si>
  <si>
    <t>OR ANY SPECIAL, INCIDENTAL, CONSEQUENTIAL OR OTHER DAMAGES ARISING OUT OF THE USE OR</t>
  </si>
  <si>
    <t>INABILITY TO USE THIS PROGRAM, EVEN IF THEY HAVE BEEN ADVISED OF THE POSSIBILITY OR</t>
  </si>
  <si>
    <t>SUCH DAMAGES.  THEIR TOTAL LIABILITY SHALL BE LIMITED TO THE PURCHASE PRICE.  SOME</t>
  </si>
  <si>
    <t>STATES DO NOT ALLOW THE LIMITATION AND/OR EXCLUSION OF IMPLIED WARRANTIES OR</t>
  </si>
  <si>
    <t>DAMAGES.  YOU MAY HAVE OTHER RIGHTS THAT VARY FROM STATE TO STATE.  THE AUTHOR</t>
  </si>
  <si>
    <t>AND PUBLISHER ARE NOT PROVIDING LEGAL, INVESTMENT, TAX, OR ACCOUNTING ADVICE.  THIS</t>
  </si>
  <si>
    <t>PROGRAM IS NOT A SUBSTITUTE FOR QUALIFIED PROFESSIONALS.  YOU SHOULD SEEK THE</t>
  </si>
  <si>
    <t>ADVICE OF QUALIFIED PROFESSIONALS FOR ALL OF YOUR LEGAL, INVESTMENT, TAX,</t>
  </si>
  <si>
    <t>ACCOUNTING AND FINANCIAL PLANNING NEEDS.  THE USER OF THIS PROGRAM AGREES THAT ANY</t>
  </si>
  <si>
    <t>LEGAL ISSUE SHALL BE GOVERNED BY AND UNDER THE LAWS OF THE STATE OF WASHINGTON.</t>
  </si>
  <si>
    <t>Users of this program accept the disclaimer below:</t>
  </si>
  <si>
    <t>(1) Fixed payments that will not change over your life</t>
  </si>
  <si>
    <t>(2) Cost of Living Adjusted (COLA) payments that increase payments by last year's inflation.</t>
  </si>
  <si>
    <t>(3) Payments that increase each year by an amount specified in your contract.</t>
  </si>
  <si>
    <t>Initially</t>
  </si>
  <si>
    <t>Thereafter</t>
  </si>
  <si>
    <t>Initial</t>
  </si>
  <si>
    <t>Final</t>
  </si>
  <si>
    <t>amount.  This represents the amount of the payment that is not taxed until you have recovered all of your</t>
  </si>
  <si>
    <t>original investment.  Annuities are designed so that the exclusion will be depleted at your life-expectancy.</t>
  </si>
  <si>
    <t>Unfortunately, this hits long-lived people the hardest because of the large tax increase when they pass</t>
  </si>
  <si>
    <t>out to be very low.  With any annuity, you should consider what will happen if tax rates increase.</t>
  </si>
  <si>
    <t>Non-deferred-tax annuities come with an "exclusion" rate which might be either a percent or a dollar</t>
  </si>
  <si>
    <t>Economy</t>
  </si>
  <si>
    <t>Economy changes to final values</t>
  </si>
  <si>
    <t>Year</t>
  </si>
  <si>
    <t>after the number of years below:</t>
  </si>
  <si>
    <t>Cumulative Exclusions</t>
  </si>
  <si>
    <t>Tax on Annuity Payments</t>
  </si>
  <si>
    <t>Adjustment each year</t>
  </si>
  <si>
    <t>Years till change</t>
  </si>
  <si>
    <t>Age to die</t>
  </si>
  <si>
    <t>Annual spending</t>
  </si>
  <si>
    <t>Control numbers</t>
  </si>
  <si>
    <t>CONTROL PANEL</t>
  </si>
  <si>
    <t>Annuity with fixed payments</t>
  </si>
  <si>
    <t>Annuity with full COLA</t>
  </si>
  <si>
    <t>Annuity with fixed % increase</t>
  </si>
  <si>
    <t>1st Monthly Pmt:</t>
  </si>
  <si>
    <t>Exclusion:*</t>
  </si>
  <si>
    <t>* 0 exclusion for deferred-tax annuity</t>
  </si>
  <si>
    <r>
      <t xml:space="preserve">Only make entries in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 or with controls.</t>
    </r>
  </si>
  <si>
    <t>Quotes from:</t>
  </si>
  <si>
    <t>Personal notes or computations:</t>
  </si>
  <si>
    <t>Compare quotes</t>
  </si>
  <si>
    <t>Copyright 2007 Henry K. Hebeler.  All rights reserved.</t>
  </si>
  <si>
    <t>Use the Control Panel to gain perspective when you enter values for the initial and final periods.</t>
  </si>
  <si>
    <t>The initial period should be roughly current values.  You will want to try final period entries</t>
  </si>
  <si>
    <t>You are trying to make a very important decision that will affect the rest of your life.  You'll see that</t>
  </si>
  <si>
    <t>people take advantage of this and emphasize those conditions that best show their wares. This</t>
  </si>
  <si>
    <t>Immediate annuities do provide worry-free income and ensure income for those who live a long time.</t>
  </si>
  <si>
    <t>Before using this program, compare payments and ratings of several annuity companies so you are</t>
  </si>
  <si>
    <t>compare insurer's quotes so you can more easily ensure you are working with competitive values.</t>
  </si>
  <si>
    <t>using competitive quotes and are not faced with an insurer's default late in life.  Some Web sites</t>
  </si>
  <si>
    <t>They also offer an advantage when stock markets fail, often do better than less savvy investors, and</t>
  </si>
  <si>
    <t>different economic conditions will make one annuity look better than the other.  Annuity sales</t>
  </si>
  <si>
    <t>Before reading the remainder of these instructions, click on the other two tabs and take a brief look.</t>
  </si>
  <si>
    <t>There may be an advantage in "laddering" and diversifying immediate annuities.  You can ladder</t>
  </si>
  <si>
    <t>them by spreading your purchases over several years which generally will offer higher payments</t>
  </si>
  <si>
    <t>If it looks like you may need to rely on Medicaid late in your life, you will want to research the</t>
  </si>
  <si>
    <t>This program will help you decide whether an annuity may be in your best interest.  You can compare</t>
  </si>
  <si>
    <t>the difference between buying and not buying an immediate annuity as well as compare the differences</t>
  </si>
  <si>
    <t>Usually these payments are for life of the owner and a specified percentage to a survivor.  However,</t>
  </si>
  <si>
    <t>with a mutual fund or insurance company, and immediately start getting monthly or periodic payments.</t>
  </si>
  <si>
    <t>pensions are an immediate annuity as may be the payments under an employer's severance contract.</t>
  </si>
  <si>
    <t>after the tax "excluded" amount accumulates to values greater than the original purchase price.</t>
  </si>
  <si>
    <t>Those that are purchased in taxable (not deferred-tax) accounts also have a sudden step up in taxes</t>
  </si>
  <si>
    <t>own financial affairs.  Their major disadvantages are that they are an irreversible commitment,</t>
  </si>
  <si>
    <t>Do not buy an annuity offered during an insurance or broker sales seminar or cold call without first</t>
  </si>
  <si>
    <t>consult with an independent advisor.</t>
  </si>
  <si>
    <t>using a program like this to make an analysis and comparison of other opportunities.  Further,</t>
  </si>
  <si>
    <t>There are three tabs at the bottom of your screen.  They are (1)  Important Considerations, (2) Inputs and</t>
  </si>
  <si>
    <t>Results, and (3) Worksheet.  If you can not see them, click on the double box in the top right corner of the</t>
  </si>
  <si>
    <t>Results tab.  The Worksheet has the detailed tabular data for each case if you are interested.</t>
  </si>
  <si>
    <t>screen to expand the worksheet to full size.  You will enter and change your values on the Inputs and</t>
  </si>
  <si>
    <t>If you have funds in an IRA or variable annuity, you may be able to transfer these to an immediate</t>
  </si>
  <si>
    <t>annuity with the assistance of the firm you choose as the source of the immediate annuity.  For example,</t>
  </si>
  <si>
    <t>the seller of the immediate annuity may arrange for a 1035 tax-free exchange from a variable annuity</t>
  </si>
  <si>
    <t>Cumulative</t>
  </si>
  <si>
    <t>Data from Inputs and Results tab:</t>
  </si>
  <si>
    <t>eligibility requirements your state imposes on your income and the amount of money in your estate.</t>
  </si>
  <si>
    <t>The program requires that you get payment quotes from your employer (if offered) or annuity vendors.</t>
  </si>
  <si>
    <t>held by another firm.  However, consider early withdrawal penalties, if any, from the variable annuity.</t>
  </si>
  <si>
    <t>You can find annuity vendors with a Web search or by calling mutual funds and insurers directly.</t>
  </si>
  <si>
    <t>(pension) at retirement, simply insert your employer's annuity quote.  If not, select quotes from insurers</t>
  </si>
  <si>
    <t>enter a higher tax rate in the final period.  If you think inflation or returns could go either up or down,</t>
  </si>
  <si>
    <t>more assurance of a steady monthly income that requires no investment management attention.</t>
  </si>
  <si>
    <t>Of course, it's also possible that you simply want more diversification in the fixed income part of</t>
  </si>
  <si>
    <t>your investments or that an immediate annuity may be a good investment as you perceive the future.</t>
  </si>
  <si>
    <t>some immediate annuities are for a fixed number of years or may be offered as the longer of (1) life-time</t>
  </si>
  <si>
    <t>payments or (2) a fixed number of years.  This program only considers life-time payments.   Employer's</t>
  </si>
  <si>
    <t>between several important kinds of immediate annuities.  It does not cover immediate annuities that</t>
  </si>
  <si>
    <t>are based on a stock market index which may, or may not, be in your best interest.  Be sure to get</t>
  </si>
  <si>
    <t>If you buy an inflation protected annuity, you might want to look at what happens if future inflation turns</t>
  </si>
  <si>
    <t>If you have a severance settlement, you will have to pay Social Security and Medicare taxes on each</t>
  </si>
  <si>
    <t>may reduce estate taxes.  They may be attractive for those who are not interested in managing their</t>
  </si>
  <si>
    <t>The program will consider three different kinds of immediate annuities with life-time payments.  See</t>
  </si>
  <si>
    <t>survivor benefits if the survivor will need about 1/2 to 2/3 of the amount as when both partners were living.</t>
  </si>
  <si>
    <t>the life-expectancy they had at the time of the annuity purchase.  The program automatically accounts for</t>
  </si>
  <si>
    <t>You should learn how a change in the economy might affect your decision.  You can do this with inputs</t>
  </si>
  <si>
    <t>Your Best Choice</t>
  </si>
  <si>
    <t>an independent professional review of the small print limitations on index based annuities.  And, for any</t>
  </si>
  <si>
    <t>annuity, be sure to check the credit worthiness of the firm behind the payments.  Few people have</t>
  </si>
  <si>
    <t>seen an insurance company go into bankruptcy, but I had that happen with a life-insurance policy.</t>
  </si>
  <si>
    <t>as you age and gain confidence that you do not need as much in other investments.  Try getting</t>
  </si>
  <si>
    <t>quotes for different ages.  You'll see how much larger payments get as you age.  You can diversify</t>
  </si>
  <si>
    <t>annuities by buying some with fixed payments (good for recessions) and some with inflation protection.</t>
  </si>
  <si>
    <t>here.  Enter 0 (zero)</t>
  </si>
  <si>
    <t>if no quote available.</t>
  </si>
  <si>
    <t>Inc.tax rate</t>
  </si>
  <si>
    <t>Rtn.tax rate</t>
  </si>
  <si>
    <t>After-Tax Annuity Income</t>
  </si>
  <si>
    <t>After-Tax Annuity Income for chart</t>
  </si>
  <si>
    <t>savings accounts.  Deferred-tax savings accounts grow at a before-tax return on investments, but</t>
  </si>
  <si>
    <t>Qualified Account</t>
  </si>
  <si>
    <t>You can do all of your work using the Inputs and Results tab.  The first step is to fill in the Investment</t>
  </si>
  <si>
    <t>Inputs section.  To do this you need to know where you will get the money and how much you want to</t>
  </si>
  <si>
    <t>put into the annuity.  Then there are a series of questions that you need to get an annuity quote.  You</t>
  </si>
  <si>
    <t>need your age, the age of your spouse, if any, and the percentage of your payments the spouse would</t>
  </si>
  <si>
    <t>in the monthly payment quote.  If your funds will come from a non-qualified account, that is, one that</t>
  </si>
  <si>
    <t>is not a deferred-tax account, you then will also get an exclusion amount.  This is the amount that is</t>
  </si>
  <si>
    <t>excluded from income tax until the total of all of your past payment exclusions exceeds the amount</t>
  </si>
  <si>
    <t>you invested originally .</t>
  </si>
  <si>
    <t>represented here, you go to the Control Panel to try out different situations that can affect how much</t>
  </si>
  <si>
    <t>After entering quote information in one or more rows of the three different kinds of immediate annuities</t>
  </si>
  <si>
    <t>you can safely spend on an inflation adjusted basis.  You can change the principal things that affect</t>
  </si>
  <si>
    <t>retirement benefits:  inflation, returns and tax rates, your death age, and when a change in the economy</t>
  </si>
  <si>
    <t>In the uncommon event where you want to first withdraw money from a deferred-tax account, pay the</t>
  </si>
  <si>
    <t>sense if you felt future tax rates would be very high, taxes on capital gains and dividends would remain</t>
  </si>
  <si>
    <t>occurs.  The control panel is a very powerful tool which can greatly help your perspective of possible</t>
  </si>
  <si>
    <t>General Instructions</t>
  </si>
  <si>
    <t>This is assumed to increase at whatever inflation rate you choose.  In the year of your death, your</t>
  </si>
  <si>
    <t>spouse's spending is reduced to whatever percentage you enter for the surviving spouse.  Thereafter,</t>
  </si>
  <si>
    <t>Your quote will depend on the survivor option you choose, so you might want to get quotes at several</t>
  </si>
  <si>
    <t>different survival benefit amounts.</t>
  </si>
  <si>
    <t>You must input a before-tax return on your investments.  Most people have no idea what return to enter</t>
  </si>
  <si>
    <t>After considering investment costs and effects from reverse-dollar-cost-averaging, retired investors</t>
  </si>
  <si>
    <t>have difficulty getting long-term returns more than 3.5% above inflation with a retirement portfolio with</t>
  </si>
  <si>
    <t>1% investment costs and a 50/50 split of stocks and bonds.  That translates to a 6.5% return with 3%</t>
  </si>
  <si>
    <t>inflation.  Remember too, that it is unlikely you would keep a large percentage of stock late in life.</t>
  </si>
  <si>
    <t>Taxable investments grow at an after-tax return on investments.  Since the tax rates on dividends</t>
  </si>
  <si>
    <t>and capital gains are currently less than ordinary income tax rates, you can enter the lower rate in</t>
  </si>
  <si>
    <t>that have high quality ratings (You don't want the insurer to default on your payments!) and that</t>
  </si>
  <si>
    <t>give the largest payments for your investment in any or all of the three categories mentioned above.</t>
  </si>
  <si>
    <t>get after your death.  This program does not need the age of your spouse because that will be inherent</t>
  </si>
  <si>
    <t>immediate annuity benefits and problems.</t>
  </si>
  <si>
    <t>in a planning program and are easily deceived by aggressive financial sales people and the media.</t>
  </si>
  <si>
    <t>monthly check, so you should reduce the payment quote by the amount of those taxes (Currently 7.65%).</t>
  </si>
  <si>
    <t>Evaluating Immediate Annuities</t>
  </si>
  <si>
    <t>This program may help determine the best course of action in this case because you can see profiles</t>
  </si>
  <si>
    <t>of both investment balances and annuity income, but you have to remember that governments change</t>
  </si>
  <si>
    <t>to reverse-dollar-cost-averaging and another 1.5% to fund costs.</t>
  </si>
  <si>
    <t>Step 2.  Decide how much you want to invest in the immediate annuity.</t>
  </si>
  <si>
    <t>Step 3.  An immediate annuity will be based on your age, spouse's age, and desired survivor income.</t>
  </si>
  <si>
    <t>(You do not need to enter spouse's age in this program, because the quotes below will reflect that.)</t>
  </si>
  <si>
    <t>Annuity quotes below will be based on its cost in step 2 and these values:</t>
  </si>
  <si>
    <t>of amount required when both spouses were alive.</t>
  </si>
  <si>
    <t>Immediate Annuity Background Information</t>
  </si>
  <si>
    <t>rules over time, and if you think you might need Medicaid support, it's best to seek a professional's help.</t>
  </si>
  <si>
    <t>Detailed Instructions</t>
  </si>
  <si>
    <t>Step 1.</t>
  </si>
  <si>
    <t>Step 2.</t>
  </si>
  <si>
    <t>Step 3.</t>
  </si>
  <si>
    <t>To get a quote, you will need the birthday of you and your spouse (if any) and, if you have a spouse</t>
  </si>
  <si>
    <t>the percent of payments that will go to your spouse on your death.  This program only needs your</t>
  </si>
  <si>
    <t>current age and the survivor's percent of income because the quote will reflect the birthdays.</t>
  </si>
  <si>
    <t>Step 4.</t>
  </si>
  <si>
    <t>Step 5.</t>
  </si>
  <si>
    <t>You will use the Control Panel to experiment with different economic situations and the effects of your</t>
  </si>
  <si>
    <t>death.</t>
  </si>
  <si>
    <t>enter nominal economic values in the initial period, but you will want to try both higher and lower values</t>
  </si>
  <si>
    <r>
      <t>Step 4.  Get quotes for several alternatives if possible.</t>
    </r>
    <r>
      <rPr>
        <sz val="10"/>
        <rFont val="Arial"/>
        <family val="2"/>
      </rPr>
      <t xml:space="preserve">  See Step 4 on the Important Considerations tab for more details.</t>
    </r>
  </si>
  <si>
    <t>You might want to get quotes for</t>
  </si>
  <si>
    <t>different survivor benefit percentages</t>
  </si>
  <si>
    <t>The financial results from your inputs are displayed on three charts. One chart is after-tax spending.</t>
  </si>
  <si>
    <t>The Control Panel provides you the capability to get a wide perspective of the good and bad of annuity</t>
  </si>
  <si>
    <t>alternatives as well as to compare these alternatives to NOT buying an annuity.  You get to invent the</t>
  </si>
  <si>
    <t>scenarios and alter the conditions using sliding controls for a quick assessment.</t>
  </si>
  <si>
    <t>How do you know which annuity, if any, is best for you?  If this is a choice whether to take an annuity</t>
  </si>
  <si>
    <t>Pmt/50</t>
  </si>
  <si>
    <t>if in taxable account</t>
  </si>
  <si>
    <t>see what the results would be in separate up and down cases.  The best choice of alternatives for you</t>
  </si>
  <si>
    <t>for the final period as well as what might happen with early or late death.</t>
  </si>
  <si>
    <t>In the case of a life-time annuity, it's important to know that after investment balances are exhausted,</t>
  </si>
  <si>
    <t>the spending can go on as depicted in the After-Tax Annual Annuity chart.  However, in the alternative</t>
  </si>
  <si>
    <t>for No Annuity, there will be no further income from investments after reaching the point where the</t>
  </si>
  <si>
    <t>investment balances reach zero.</t>
  </si>
  <si>
    <t>For this reason, it's easiest to make a fair comparison by choosing a spending level (using the control</t>
  </si>
  <si>
    <t>Enter 100% if single to disable the age to die control.</t>
  </si>
  <si>
    <t>Otherwise, if single, enter 0% to see how heirs might fare.</t>
  </si>
  <si>
    <t>to investigate that aspect as well if</t>
  </si>
  <si>
    <t>you are married.</t>
  </si>
  <si>
    <t>that might represent how the economy might turn and your choices react.  If you foresee higher taxes,</t>
  </si>
  <si>
    <t>purchase the annuity.  If you are taking money from a variable annuity that has an early withdrawal</t>
  </si>
  <si>
    <t>The program has investment input provisions for taxes or penalties due on withdrawal of funds to</t>
  </si>
  <si>
    <t>program will give you a more objective view and help you reach a better decision.  If you still have</t>
  </si>
  <si>
    <t>great uncertainty whether its better to choose an annuity over No Annuity, just wait until next year</t>
  </si>
  <si>
    <t>and look again.  Once bought, an immediate annuity is yours for life.</t>
  </si>
  <si>
    <t>Also vary the age of death:</t>
  </si>
  <si>
    <t>You may be interested in immediate annuities because you have learned that you may be able to get</t>
  </si>
  <si>
    <t>a pension as an alternative to getting a lump sum upon your retirement, or you may simply want</t>
  </si>
  <si>
    <t>Vanguard.com 2/15/07</t>
  </si>
  <si>
    <t>Investment used to buy annuity.</t>
  </si>
  <si>
    <t>Net investment in the immediate annuity</t>
  </si>
  <si>
    <t>Investments:</t>
  </si>
  <si>
    <t>Tax on Rtn</t>
  </si>
  <si>
    <t>If your investment source for the annuity is an employer retirement account, IRA or variable annuity,</t>
  </si>
  <si>
    <t>total of your investments.  You will need funds for emergencies and large purchases as well.</t>
  </si>
  <si>
    <t>Then enter those values in Step 4 of the Inputs and Results tab.  Next go on to complete the other entries.</t>
  </si>
  <si>
    <t>After-Tax Balances for chart</t>
  </si>
  <si>
    <t>low and/or it was important to reduce estate taxes.  You should enter the after-tax amount you would</t>
  </si>
  <si>
    <t>amount that would be in your original deferred-tax account before the withdrawal.</t>
  </si>
  <si>
    <t>Qualified to non-qualified</t>
  </si>
  <si>
    <t>Check this box if you take money from a deferred-tax (qualified) savings plan, pay the tax, and then invest the</t>
  </si>
  <si>
    <t>After reading the instructions, you may want to print them to assist with Inputs and Result tab entries.</t>
  </si>
  <si>
    <t>If the source for your annuity funds will be a non-deferred-tax account that includes taxable or tax-exempt</t>
  </si>
  <si>
    <t xml:space="preserve">mutual funds, certificates of deposits, bank savings, or other investments, do not check the box. </t>
  </si>
  <si>
    <t>capital gains tax or from a deferred-tax account without a tax-free exchange, enter that tax there.</t>
  </si>
  <si>
    <t>Step 1.  Select the source of money to buy your annuity.</t>
  </si>
  <si>
    <r>
      <t xml:space="preserve">Check the box if the funds for the annuity will come from a qualified (i.e., deferred-tax) savings plan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</t>
    </r>
  </si>
  <si>
    <t>annuity will also be a qualified immediate annuity.  Do not check if funds for the annuity come from a taxable</t>
  </si>
  <si>
    <t>(non-qualified) or tax-exempt account.  Taxable immediate annuities have an "exclusion" amount.</t>
  </si>
  <si>
    <t>If no annuity</t>
  </si>
  <si>
    <t>If %/Yr Adj.</t>
  </si>
  <si>
    <r>
      <t>Before-tax return</t>
    </r>
    <r>
      <rPr>
        <sz val="10"/>
        <rFont val="Arial"/>
        <family val="2"/>
      </rPr>
      <t xml:space="preserve"> *</t>
    </r>
  </si>
  <si>
    <t>Taxes on ordinary income</t>
  </si>
  <si>
    <t>Tax rate on returns **</t>
  </si>
  <si>
    <t>* Return on the investment balance.  Typically, retirees lose 1%</t>
  </si>
  <si>
    <t>** Taxes on returns (e.g., capital gains, dividends and interest) may</t>
  </si>
  <si>
    <t>may average less than taxes on ordinary income.</t>
  </si>
  <si>
    <t>Ordinary tax rate</t>
  </si>
  <si>
    <t>Taxes on returns</t>
  </si>
  <si>
    <t>Inflation (Click on arrows)</t>
  </si>
  <si>
    <t>Check this box for After-Tax Spending in today's dollar values.</t>
  </si>
  <si>
    <t>Today's $s</t>
  </si>
  <si>
    <t>Index</t>
  </si>
  <si>
    <t xml:space="preserve">Choose a value below that provides income at least to life-expectancy: </t>
  </si>
  <si>
    <t>Years until "Thereafter" will start</t>
  </si>
  <si>
    <t>reduce cash reserves for emergencies, and may reduce the amount that heirs may get on your death.</t>
  </si>
  <si>
    <t>it resumes its increases with inflation untill you exhaust your investment balances.  At that point, if you</t>
  </si>
  <si>
    <t>have an immediate annuity, the annuity provides income until death.  There is also a chart depicting</t>
  </si>
  <si>
    <t>the after-tax value of your investment balance and another chart  that shows the after-tax income from</t>
  </si>
  <si>
    <t>the annuities.</t>
  </si>
  <si>
    <t>When these are all entered, look for the alternative that gives the most attractive after-tax spending.</t>
  </si>
  <si>
    <t>how the different annuity alternatives behave on the After-tax Spending and Investment Balance charts.</t>
  </si>
  <si>
    <t>may be the one where the After-Tax Spending lasts the longest under your most plausible assumptions</t>
  </si>
  <si>
    <t>choice for the scenario you choose is the one that has the largest values on the After-Tax Spending</t>
  </si>
  <si>
    <t>chart at an age that you feel will surpass the life-expectancy of you or your spouse.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</si>
</sst>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0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10" fontId="0" fillId="3" borderId="1" xfId="0" applyNumberFormat="1" applyFont="1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Alignment="1" applyProtection="1">
      <alignment/>
      <protection hidden="1"/>
    </xf>
    <xf numFmtId="9" fontId="0" fillId="3" borderId="1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Alignment="1" applyProtection="1">
      <alignment horizontal="right"/>
      <protection hidden="1"/>
    </xf>
    <xf numFmtId="0" fontId="2" fillId="3" borderId="15" xfId="0" applyFont="1" applyFill="1" applyBorder="1" applyAlignment="1" applyProtection="1">
      <alignment horizontal="right"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3" borderId="19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hidden="1"/>
    </xf>
    <xf numFmtId="1" fontId="2" fillId="4" borderId="2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2" fillId="4" borderId="2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/>
      <protection hidden="1"/>
    </xf>
    <xf numFmtId="0" fontId="2" fillId="4" borderId="0" xfId="0" applyFont="1" applyFill="1" applyAlignment="1">
      <alignment/>
    </xf>
    <xf numFmtId="0" fontId="5" fillId="3" borderId="19" xfId="0" applyFont="1" applyFill="1" applyBorder="1" applyAlignment="1" applyProtection="1">
      <alignment horizontal="right"/>
      <protection hidden="1"/>
    </xf>
    <xf numFmtId="166" fontId="2" fillId="3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9" fontId="2" fillId="4" borderId="1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/>
    </xf>
    <xf numFmtId="4" fontId="0" fillId="6" borderId="0" xfId="0" applyNumberFormat="1" applyFill="1" applyAlignment="1">
      <alignment/>
    </xf>
    <xf numFmtId="4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>
      <alignment/>
    </xf>
    <xf numFmtId="0" fontId="14" fillId="3" borderId="0" xfId="0" applyFont="1" applyFill="1" applyAlignment="1" applyProtection="1">
      <alignment/>
      <protection hidden="1"/>
    </xf>
    <xf numFmtId="3" fontId="14" fillId="3" borderId="0" xfId="0" applyNumberFormat="1" applyFont="1" applyFill="1" applyAlignment="1" applyProtection="1">
      <alignment/>
      <protection hidden="1"/>
    </xf>
    <xf numFmtId="171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After-Tax Annual Annuity Income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Worksheet!$M$67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Worksheet!$M$68:$M$118</c:f>
              <c:numCache>
                <c:ptCount val="51"/>
                <c:pt idx="0">
                  <c:v>5435.9436000000005</c:v>
                </c:pt>
                <c:pt idx="1">
                  <c:v>5599.021908000001</c:v>
                </c:pt>
                <c:pt idx="2">
                  <c:v>5766.992565240001</c:v>
                </c:pt>
                <c:pt idx="3">
                  <c:v>5940.002342197201</c:v>
                </c:pt>
                <c:pt idx="4">
                  <c:v>6118.202412463117</c:v>
                </c:pt>
                <c:pt idx="5">
                  <c:v>6301.74848483701</c:v>
                </c:pt>
                <c:pt idx="6">
                  <c:v>6490.800939382121</c:v>
                </c:pt>
                <c:pt idx="7">
                  <c:v>6685.524967563585</c:v>
                </c:pt>
                <c:pt idx="8">
                  <c:v>6886.090716590493</c:v>
                </c:pt>
                <c:pt idx="9">
                  <c:v>7092.673438088208</c:v>
                </c:pt>
                <c:pt idx="10">
                  <c:v>7060.5781001840105</c:v>
                </c:pt>
                <c:pt idx="11">
                  <c:v>7272.395443189531</c:v>
                </c:pt>
                <c:pt idx="12">
                  <c:v>7490.567306485218</c:v>
                </c:pt>
                <c:pt idx="13">
                  <c:v>7715.284325679774</c:v>
                </c:pt>
                <c:pt idx="14">
                  <c:v>7946.742855450167</c:v>
                </c:pt>
                <c:pt idx="15">
                  <c:v>8185.145141113673</c:v>
                </c:pt>
                <c:pt idx="16">
                  <c:v>8430.699495347084</c:v>
                </c:pt>
                <c:pt idx="17">
                  <c:v>8683.620480207497</c:v>
                </c:pt>
                <c:pt idx="18">
                  <c:v>5687.018499465373</c:v>
                </c:pt>
                <c:pt idx="19">
                  <c:v>5857.629054449334</c:v>
                </c:pt>
                <c:pt idx="20">
                  <c:v>6033.357926082814</c:v>
                </c:pt>
                <c:pt idx="21">
                  <c:v>6214.358663865299</c:v>
                </c:pt>
                <c:pt idx="22">
                  <c:v>6400.789423781258</c:v>
                </c:pt>
                <c:pt idx="23">
                  <c:v>6592.8131064946965</c:v>
                </c:pt>
                <c:pt idx="24">
                  <c:v>6790.597499689537</c:v>
                </c:pt>
                <c:pt idx="25">
                  <c:v>4686.19133453575</c:v>
                </c:pt>
                <c:pt idx="26">
                  <c:v>4826.777074571822</c:v>
                </c:pt>
                <c:pt idx="27">
                  <c:v>4971.580386808977</c:v>
                </c:pt>
                <c:pt idx="28">
                  <c:v>5120.727798413246</c:v>
                </c:pt>
                <c:pt idx="29">
                  <c:v>5274.3496323656445</c:v>
                </c:pt>
                <c:pt idx="30">
                  <c:v>5432.580121336614</c:v>
                </c:pt>
                <c:pt idx="31">
                  <c:v>5595.557524976713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Worksheet!$N$67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Worksheet!$N$68:$N$118</c:f>
              <c:numCache>
                <c:ptCount val="51"/>
                <c:pt idx="0">
                  <c:v>5779.728</c:v>
                </c:pt>
                <c:pt idx="1">
                  <c:v>5894.984700000001</c:v>
                </c:pt>
                <c:pt idx="2">
                  <c:v>6013.699101000001</c:v>
                </c:pt>
                <c:pt idx="3">
                  <c:v>6135.974934030001</c:v>
                </c:pt>
                <c:pt idx="4">
                  <c:v>6261.919042050901</c:v>
                </c:pt>
                <c:pt idx="5">
                  <c:v>6391.641473312428</c:v>
                </c:pt>
                <c:pt idx="6">
                  <c:v>6525.255577511802</c:v>
                </c:pt>
                <c:pt idx="7">
                  <c:v>6662.878104837156</c:v>
                </c:pt>
                <c:pt idx="8">
                  <c:v>6804.629307982271</c:v>
                </c:pt>
                <c:pt idx="9">
                  <c:v>6950.633047221739</c:v>
                </c:pt>
                <c:pt idx="10">
                  <c:v>6860.349683463254</c:v>
                </c:pt>
                <c:pt idx="11">
                  <c:v>7078.791867636417</c:v>
                </c:pt>
                <c:pt idx="12">
                  <c:v>7308.156161018238</c:v>
                </c:pt>
                <c:pt idx="13">
                  <c:v>7548.988669069149</c:v>
                </c:pt>
                <c:pt idx="14">
                  <c:v>7801.862802522607</c:v>
                </c:pt>
                <c:pt idx="15">
                  <c:v>8067.380642648737</c:v>
                </c:pt>
                <c:pt idx="16">
                  <c:v>8346.174374781174</c:v>
                </c:pt>
                <c:pt idx="17">
                  <c:v>8638.907793520233</c:v>
                </c:pt>
                <c:pt idx="18">
                  <c:v>6454.771883196245</c:v>
                </c:pt>
                <c:pt idx="19">
                  <c:v>6777.510477356057</c:v>
                </c:pt>
                <c:pt idx="20">
                  <c:v>7116.38600122386</c:v>
                </c:pt>
                <c:pt idx="21">
                  <c:v>7472.205301285054</c:v>
                </c:pt>
                <c:pt idx="22">
                  <c:v>7845.815566349306</c:v>
                </c:pt>
                <c:pt idx="23">
                  <c:v>8238.106344666772</c:v>
                </c:pt>
                <c:pt idx="24">
                  <c:v>8650.01166190011</c:v>
                </c:pt>
                <c:pt idx="25">
                  <c:v>6085.283204146728</c:v>
                </c:pt>
                <c:pt idx="26">
                  <c:v>6389.5473643540645</c:v>
                </c:pt>
                <c:pt idx="27">
                  <c:v>6709.024732571768</c:v>
                </c:pt>
                <c:pt idx="28">
                  <c:v>7044.475969200356</c:v>
                </c:pt>
                <c:pt idx="29">
                  <c:v>7396.699767660375</c:v>
                </c:pt>
                <c:pt idx="30">
                  <c:v>7766.534756043394</c:v>
                </c:pt>
                <c:pt idx="31">
                  <c:v>8154.861493845564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Worksheet!$O$67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Worksheet!$O$68:$O$118</c:f>
              <c:numCache>
                <c:ptCount val="51"/>
                <c:pt idx="0">
                  <c:v>7065.278478</c:v>
                </c:pt>
                <c:pt idx="1">
                  <c:v>7065.278478</c:v>
                </c:pt>
                <c:pt idx="2">
                  <c:v>7065.278478</c:v>
                </c:pt>
                <c:pt idx="3">
                  <c:v>7065.278478</c:v>
                </c:pt>
                <c:pt idx="4">
                  <c:v>7065.278478</c:v>
                </c:pt>
                <c:pt idx="5">
                  <c:v>7065.278478</c:v>
                </c:pt>
                <c:pt idx="6">
                  <c:v>7065.278478</c:v>
                </c:pt>
                <c:pt idx="7">
                  <c:v>7065.278478</c:v>
                </c:pt>
                <c:pt idx="8">
                  <c:v>7065.278478</c:v>
                </c:pt>
                <c:pt idx="9">
                  <c:v>7065.278478</c:v>
                </c:pt>
                <c:pt idx="10">
                  <c:v>6829.335186</c:v>
                </c:pt>
                <c:pt idx="11">
                  <c:v>6829.335186</c:v>
                </c:pt>
                <c:pt idx="12">
                  <c:v>6829.335186</c:v>
                </c:pt>
                <c:pt idx="13">
                  <c:v>6829.335186</c:v>
                </c:pt>
                <c:pt idx="14">
                  <c:v>6829.335186</c:v>
                </c:pt>
                <c:pt idx="15">
                  <c:v>6829.335186</c:v>
                </c:pt>
                <c:pt idx="16">
                  <c:v>6829.335186</c:v>
                </c:pt>
                <c:pt idx="17">
                  <c:v>6829.335186</c:v>
                </c:pt>
                <c:pt idx="18">
                  <c:v>4340.094</c:v>
                </c:pt>
                <c:pt idx="19">
                  <c:v>4340.094</c:v>
                </c:pt>
                <c:pt idx="20">
                  <c:v>4340.094</c:v>
                </c:pt>
                <c:pt idx="21">
                  <c:v>4340.094</c:v>
                </c:pt>
                <c:pt idx="22">
                  <c:v>4340.094</c:v>
                </c:pt>
                <c:pt idx="23">
                  <c:v>4340.094</c:v>
                </c:pt>
                <c:pt idx="24">
                  <c:v>4340.094</c:v>
                </c:pt>
                <c:pt idx="25">
                  <c:v>2907.8629800000003</c:v>
                </c:pt>
                <c:pt idx="26">
                  <c:v>2907.8629800000003</c:v>
                </c:pt>
                <c:pt idx="27">
                  <c:v>2907.8629800000003</c:v>
                </c:pt>
                <c:pt idx="28">
                  <c:v>2907.8629800000003</c:v>
                </c:pt>
                <c:pt idx="29">
                  <c:v>2907.8629800000003</c:v>
                </c:pt>
                <c:pt idx="30">
                  <c:v>2907.8629800000003</c:v>
                </c:pt>
                <c:pt idx="31">
                  <c:v>2907.8629800000003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3839883"/>
        <c:axId val="45700752"/>
      </c:scatterChart>
      <c:valAx>
        <c:axId val="13839883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0752"/>
        <c:crosses val="autoZero"/>
        <c:crossBetween val="midCat"/>
        <c:dispUnits/>
      </c:valAx>
      <c:valAx>
        <c:axId val="457007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39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After-Tax Investment Balances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Worksheet!$W$67</c:f>
              <c:strCache>
                <c:ptCount val="1"/>
                <c:pt idx="0">
                  <c:v>No Annuity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Worksheet!$W$68:$W$118</c:f>
              <c:numCache>
                <c:ptCount val="51"/>
                <c:pt idx="0">
                  <c:v>98778.4748125</c:v>
                </c:pt>
                <c:pt idx="1">
                  <c:v>97355.6010641847</c:v>
                </c:pt>
                <c:pt idx="2">
                  <c:v>95718.91241828512</c:v>
                </c:pt>
                <c:pt idx="3">
                  <c:v>93855.3178422232</c:v>
                </c:pt>
                <c:pt idx="4">
                  <c:v>91751.0730854544</c:v>
                </c:pt>
                <c:pt idx="5">
                  <c:v>89391.75092002875</c:v>
                </c:pt>
                <c:pt idx="6">
                  <c:v>86762.21009186338</c:v>
                </c:pt>
                <c:pt idx="7">
                  <c:v>83846.56292857783</c:v>
                </c:pt>
                <c:pt idx="8">
                  <c:v>80628.1415475161</c:v>
                </c:pt>
                <c:pt idx="9">
                  <c:v>77089.46260526066</c:v>
                </c:pt>
                <c:pt idx="10">
                  <c:v>71582.03034772292</c:v>
                </c:pt>
                <c:pt idx="11">
                  <c:v>65641.01027625444</c:v>
                </c:pt>
                <c:pt idx="12">
                  <c:v>59242.04914636092</c:v>
                </c:pt>
                <c:pt idx="13">
                  <c:v>52359.53086319408</c:v>
                </c:pt>
                <c:pt idx="14">
                  <c:v>44966.51257535471</c:v>
                </c:pt>
                <c:pt idx="15">
                  <c:v>37034.65756047949</c:v>
                </c:pt>
                <c:pt idx="16">
                  <c:v>28534.16474198294</c:v>
                </c:pt>
                <c:pt idx="17">
                  <c:v>19433.694668290358</c:v>
                </c:pt>
                <c:pt idx="18">
                  <c:v>9700.29177746077</c:v>
                </c:pt>
                <c:pt idx="19">
                  <c:v>-700.6972387600208</c:v>
                </c:pt>
                <c:pt idx="20">
                  <c:v>-11805.709166717937</c:v>
                </c:pt>
                <c:pt idx="21">
                  <c:v>-23653.054303489487</c:v>
                </c:pt>
                <c:pt idx="22">
                  <c:v>-36283.011005665176</c:v>
                </c:pt>
                <c:pt idx="23">
                  <c:v>-49737.924980329975</c:v>
                </c:pt>
                <c:pt idx="24">
                  <c:v>-64062.31355560006</c:v>
                </c:pt>
                <c:pt idx="25">
                  <c:v>-74630.83236661233</c:v>
                </c:pt>
                <c:pt idx="26">
                  <c:v>-85852.25243112684</c:v>
                </c:pt>
                <c:pt idx="27">
                  <c:v>-97761.32244460755</c:v>
                </c:pt>
                <c:pt idx="28">
                  <c:v>-110394.56408868583</c:v>
                </c:pt>
                <c:pt idx="29">
                  <c:v>-123790.36128128726</c:v>
                </c:pt>
                <c:pt idx="30">
                  <c:v>-137989.0538994188</c:v>
                </c:pt>
                <c:pt idx="31">
                  <c:v>-153033.03619842065</c:v>
                </c:pt>
                <c:pt idx="32">
                  <c:v>-168966.86016268074</c:v>
                </c:pt>
                <c:pt idx="33">
                  <c:v>-185837.3440345621</c:v>
                </c:pt>
                <c:pt idx="34">
                  <c:v>-203693.68628063487</c:v>
                </c:pt>
                <c:pt idx="35">
                  <c:v>-222587.5852672607</c:v>
                </c:pt>
                <c:pt idx="36">
                  <c:v>-242573.36493118468</c:v>
                </c:pt>
                <c:pt idx="37">
                  <c:v>-263708.1067450743</c:v>
                </c:pt>
                <c:pt idx="38">
                  <c:v>-286051.78829294635</c:v>
                </c:pt>
                <c:pt idx="39">
                  <c:v>-309667.42878617137</c:v>
                </c:pt>
                <c:pt idx="40">
                  <c:v>-334621.24186728563</c:v>
                </c:pt>
                <c:pt idx="41">
                  <c:v>-360982.79606620217</c:v>
                </c:pt>
                <c:pt idx="42">
                  <c:v>-388825.18329164834</c:v>
                </c:pt>
                <c:pt idx="43">
                  <c:v>-418225.19575980084</c:v>
                </c:pt>
                <c:pt idx="44">
                  <c:v>-449263.51178219134</c:v>
                </c:pt>
                <c:pt idx="45">
                  <c:v>-482024.8908560628</c:v>
                </c:pt>
                <c:pt idx="46">
                  <c:v>-516598.37852252036</c:v>
                </c:pt>
                <c:pt idx="47">
                  <c:v>-553077.5214810906</c:v>
                </c:pt>
                <c:pt idx="48">
                  <c:v>-591560.5934737376</c:v>
                </c:pt>
                <c:pt idx="49">
                  <c:v>-632150.832477041</c:v>
                </c:pt>
                <c:pt idx="50">
                  <c:v>-674956.6897681801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Worksheet!$X$67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Worksheet!$X$68:$X$118</c:f>
              <c:numCache>
                <c:ptCount val="51"/>
                <c:pt idx="0">
                  <c:v>418.9600822770003</c:v>
                </c:pt>
                <c:pt idx="1">
                  <c:v>866.8346946323477</c:v>
                </c:pt>
                <c:pt idx="2">
                  <c:v>1345.1290015310988</c:v>
                </c:pt>
                <c:pt idx="3">
                  <c:v>1855.4182033521342</c:v>
                </c:pt>
                <c:pt idx="4">
                  <c:v>2399.3506081970063</c:v>
                </c:pt>
                <c:pt idx="5">
                  <c:v>2978.650833726133</c:v>
                </c:pt>
                <c:pt idx="6">
                  <c:v>3595.1231444007885</c:v>
                </c:pt>
                <c:pt idx="7">
                  <c:v>4250.654929728321</c:v>
                </c:pt>
                <c:pt idx="8">
                  <c:v>4947.220329335868</c:v>
                </c:pt>
                <c:pt idx="9">
                  <c:v>5686.884010934829</c:v>
                </c:pt>
                <c:pt idx="10">
                  <c:v>6092.98816028355</c:v>
                </c:pt>
                <c:pt idx="11">
                  <c:v>6379.050460531851</c:v>
                </c:pt>
                <c:pt idx="12">
                  <c:v>6532.424809977632</c:v>
                </c:pt>
                <c:pt idx="13">
                  <c:v>6539.592353757687</c:v>
                </c:pt>
                <c:pt idx="14">
                  <c:v>6386.109937687562</c:v>
                </c:pt>
                <c:pt idx="15">
                  <c:v>6056.555735791845</c:v>
                </c:pt>
                <c:pt idx="16">
                  <c:v>5534.4719025408385</c:v>
                </c:pt>
                <c:pt idx="17">
                  <c:v>4802.304093126939</c:v>
                </c:pt>
                <c:pt idx="18">
                  <c:v>556.7045073629452</c:v>
                </c:pt>
                <c:pt idx="19">
                  <c:v>-4091.6851137630683</c:v>
                </c:pt>
                <c:pt idx="20">
                  <c:v>-9169.664936250323</c:v>
                </c:pt>
                <c:pt idx="21">
                  <c:v>-14705.59093095201</c:v>
                </c:pt>
                <c:pt idx="22">
                  <c:v>-20729.459407719605</c:v>
                </c:pt>
                <c:pt idx="23">
                  <c:v>-27272.995983134544</c:v>
                </c:pt>
                <c:pt idx="24">
                  <c:v>-34369.749209790105</c:v>
                </c:pt>
                <c:pt idx="25">
                  <c:v>-39710.674032045594</c:v>
                </c:pt>
                <c:pt idx="26">
                  <c:v>-45474.38007985396</c:v>
                </c:pt>
                <c:pt idx="27">
                  <c:v>-51687.473809520656</c:v>
                </c:pt>
                <c:pt idx="28">
                  <c:v>-58378.06946335613</c:v>
                </c:pt>
                <c:pt idx="29">
                  <c:v>-65575.87001003035</c:v>
                </c:pt>
                <c:pt idx="30">
                  <c:v>-73312.25230231574</c:v>
                </c:pt>
                <c:pt idx="31">
                  <c:v>-81620.35666826378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Worksheet!$Y$67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Worksheet!$Y$68:$Y$118</c:f>
              <c:numCache>
                <c:ptCount val="51"/>
                <c:pt idx="0">
                  <c:v>769.4508564600003</c:v>
                </c:pt>
                <c:pt idx="1">
                  <c:v>1532.7361525350377</c:v>
                </c:pt>
                <c:pt idx="2">
                  <c:v>2288.5297683202007</c:v>
                </c:pt>
                <c:pt idx="3">
                  <c:v>3035.4212782254917</c:v>
                </c:pt>
                <c:pt idx="4">
                  <c:v>3771.9116847760156</c:v>
                </c:pt>
                <c:pt idx="5">
                  <c:v>4496.408956655975</c:v>
                </c:pt>
                <c:pt idx="6">
                  <c:v>5207.223362479734</c:v>
                </c:pt>
                <c:pt idx="7">
                  <c:v>5902.562591414551</c:v>
                </c:pt>
                <c:pt idx="8">
                  <c:v>6580.5266514061395</c:v>
                </c:pt>
                <c:pt idx="9">
                  <c:v>7239.102535369377</c:v>
                </c:pt>
                <c:pt idx="10">
                  <c:v>7469.518830938994</c:v>
                </c:pt>
                <c:pt idx="11">
                  <c:v>7583.604973754834</c:v>
                </c:pt>
                <c:pt idx="12">
                  <c:v>7573.3837748279075</c:v>
                </c:pt>
                <c:pt idx="13">
                  <c:v>7430.442670204948</c:v>
                </c:pt>
                <c:pt idx="14">
                  <c:v>7145.911335107983</c:v>
                </c:pt>
                <c:pt idx="15">
                  <c:v>6710.438168351707</c:v>
                </c:pt>
                <c:pt idx="16">
                  <c:v>6114.165590376269</c:v>
                </c:pt>
                <c:pt idx="17">
                  <c:v>5346.704095397018</c:v>
                </c:pt>
                <c:pt idx="18">
                  <c:v>1884.5457694947868</c:v>
                </c:pt>
                <c:pt idx="19">
                  <c:v>-1813.748913370914</c:v>
                </c:pt>
                <c:pt idx="20">
                  <c:v>-5761.051951695554</c:v>
                </c:pt>
                <c:pt idx="21">
                  <c:v>-9970.896945452312</c:v>
                </c:pt>
                <c:pt idx="22">
                  <c:v>-14457.512480392217</c:v>
                </c:pt>
                <c:pt idx="23">
                  <c:v>-19235.85718670069</c:v>
                </c:pt>
                <c:pt idx="24">
                  <c:v>-24321.656555815276</c:v>
                </c:pt>
                <c:pt idx="25">
                  <c:v>-28081.8544163094</c:v>
                </c:pt>
                <c:pt idx="26">
                  <c:v>-32073.05771388092</c:v>
                </c:pt>
                <c:pt idx="27">
                  <c:v>-36307.543345078186</c:v>
                </c:pt>
                <c:pt idx="28">
                  <c:v>-40798.21433123433</c:v>
                </c:pt>
                <c:pt idx="29">
                  <c:v>-45558.631332237725</c:v>
                </c:pt>
                <c:pt idx="30">
                  <c:v>-50603.04573949835</c:v>
                </c:pt>
                <c:pt idx="31">
                  <c:v>-55946.43442712898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Worksheet!$Z$67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Worksheet!$Z$68:$Z$118</c:f>
              <c:numCache>
                <c:ptCount val="51"/>
                <c:pt idx="0">
                  <c:v>2080.079210409585</c:v>
                </c:pt>
                <c:pt idx="1">
                  <c:v>4087.6219555883</c:v>
                </c:pt>
                <c:pt idx="2">
                  <c:v>6015.187502676412</c:v>
                </c:pt>
                <c:pt idx="3">
                  <c:v>7854.906496941604</c:v>
                </c:pt>
                <c:pt idx="4">
                  <c:v>9598.460089446213</c:v>
                </c:pt>
                <c:pt idx="5">
                  <c:v>11237.058125890893</c:v>
                </c:pt>
                <c:pt idx="6">
                  <c:v>12761.416356271822</c:v>
                </c:pt>
                <c:pt idx="7">
                  <c:v>14161.732623301754</c:v>
                </c:pt>
                <c:pt idx="8">
                  <c:v>15427.661985789271</c:v>
                </c:pt>
                <c:pt idx="9">
                  <c:v>16548.290731342633</c:v>
                </c:pt>
                <c:pt idx="10">
                  <c:v>16904.755737457377</c:v>
                </c:pt>
                <c:pt idx="11">
                  <c:v>16926.732793397136</c:v>
                </c:pt>
                <c:pt idx="12">
                  <c:v>16591.543442365026</c:v>
                </c:pt>
                <c:pt idx="13">
                  <c:v>15875.274681122357</c:v>
                </c:pt>
                <c:pt idx="14">
                  <c:v>14752.71553212767</c:v>
                </c:pt>
                <c:pt idx="15">
                  <c:v>13197.290415543606</c:v>
                </c:pt>
                <c:pt idx="16">
                  <c:v>11180.989160619336</c:v>
                </c:pt>
                <c:pt idx="17">
                  <c:v>8674.29348792341</c:v>
                </c:pt>
                <c:pt idx="18">
                  <c:v>3135.8245114456226</c:v>
                </c:pt>
                <c:pt idx="19">
                  <c:v>-2999.3362072708246</c:v>
                </c:pt>
                <c:pt idx="20">
                  <c:v>-9766.427339496575</c:v>
                </c:pt>
                <c:pt idx="21">
                  <c:v>-17202.540819088084</c:v>
                </c:pt>
                <c:pt idx="22">
                  <c:v>-25346.716049077393</c:v>
                </c:pt>
                <c:pt idx="23">
                  <c:v>-34240.03884467586</c:v>
                </c:pt>
                <c:pt idx="24">
                  <c:v>-43925.74534995339</c:v>
                </c:pt>
                <c:pt idx="25">
                  <c:v>-51221.52173610922</c:v>
                </c:pt>
                <c:pt idx="26">
                  <c:v>-59114.89002878721</c:v>
                </c:pt>
                <c:pt idx="27">
                  <c:v>-67639.66419548739</c:v>
                </c:pt>
                <c:pt idx="28">
                  <c:v>-76831.41539297454</c:v>
                </c:pt>
                <c:pt idx="29">
                  <c:v>-86727.56095043744</c:v>
                </c:pt>
                <c:pt idx="30">
                  <c:v>-97367.45782079661</c:v>
                </c:pt>
                <c:pt idx="31">
                  <c:v>-108792.50072388872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7238865"/>
        <c:axId val="5907742"/>
      </c:scatterChart>
      <c:valAx>
        <c:axId val="57238865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742"/>
        <c:crosses val="autoZero"/>
        <c:crossBetween val="midCat"/>
        <c:dispUnits/>
      </c:valAx>
      <c:valAx>
        <c:axId val="59077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8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After-Tax Spending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Worksheet!$H$67</c:f>
              <c:strCache>
                <c:ptCount val="1"/>
                <c:pt idx="0">
                  <c:v>If no annuity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Worksheet!$H$68:$H$118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Worksheet!$I$67</c:f>
              <c:strCache>
                <c:ptCount val="1"/>
                <c:pt idx="0">
                  <c:v>If 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Worksheet!$I$68:$I$118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2703.595894478295</c:v>
                </c:pt>
                <c:pt idx="21">
                  <c:v>2652.0988298215657</c:v>
                </c:pt>
                <c:pt idx="22">
                  <c:v>2601.5826616344884</c:v>
                </c:pt>
                <c:pt idx="23">
                  <c:v>2552.0287061747845</c:v>
                </c:pt>
                <c:pt idx="24">
                  <c:v>2503.4186355809784</c:v>
                </c:pt>
                <c:pt idx="25">
                  <c:v>1645.3420956327936</c:v>
                </c:pt>
                <c:pt idx="26">
                  <c:v>1614.0022461921687</c:v>
                </c:pt>
                <c:pt idx="27">
                  <c:v>1583.259346264699</c:v>
                </c:pt>
                <c:pt idx="28">
                  <c:v>1553.1020253834665</c:v>
                </c:pt>
                <c:pt idx="29">
                  <c:v>1523.5191296618768</c:v>
                </c:pt>
                <c:pt idx="30">
                  <c:v>1494.4997176683173</c:v>
                </c:pt>
                <c:pt idx="31">
                  <c:v>1466.033056379397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Worksheet!$J$67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Worksheet!$J$68:$J$118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3188.909428571428</c:v>
                </c:pt>
                <c:pt idx="21">
                  <c:v>3188.9094285714277</c:v>
                </c:pt>
                <c:pt idx="22">
                  <c:v>3188.9094285714277</c:v>
                </c:pt>
                <c:pt idx="23">
                  <c:v>3188.909428571428</c:v>
                </c:pt>
                <c:pt idx="24">
                  <c:v>3188.9094285714273</c:v>
                </c:pt>
                <c:pt idx="25">
                  <c:v>2136.5693171428566</c:v>
                </c:pt>
                <c:pt idx="26">
                  <c:v>2136.5693171428566</c:v>
                </c:pt>
                <c:pt idx="27">
                  <c:v>2136.5693171428566</c:v>
                </c:pt>
                <c:pt idx="28">
                  <c:v>2136.5693171428566</c:v>
                </c:pt>
                <c:pt idx="29">
                  <c:v>2136.5693171428566</c:v>
                </c:pt>
                <c:pt idx="30">
                  <c:v>2136.5693171428566</c:v>
                </c:pt>
                <c:pt idx="31">
                  <c:v>2136.5693171428566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Worksheet!$K$67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Worksheet!$K$68:$K$118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1944.8307996651788</c:v>
                </c:pt>
                <c:pt idx="21">
                  <c:v>1852.2198092049318</c:v>
                </c:pt>
                <c:pt idx="22">
                  <c:v>1764.0188659094588</c:v>
                </c:pt>
                <c:pt idx="23">
                  <c:v>1680.0179675328181</c:v>
                </c:pt>
                <c:pt idx="24">
                  <c:v>1600.017111936017</c:v>
                </c:pt>
                <c:pt idx="25">
                  <c:v>1020.9632999972681</c:v>
                </c:pt>
                <c:pt idx="26">
                  <c:v>972.3459999973982</c:v>
                </c:pt>
                <c:pt idx="27">
                  <c:v>926.0438095213315</c:v>
                </c:pt>
                <c:pt idx="28">
                  <c:v>881.9464852584109</c:v>
                </c:pt>
                <c:pt idx="29">
                  <c:v>839.949033579439</c:v>
                </c:pt>
                <c:pt idx="30">
                  <c:v>799.9514605518466</c:v>
                </c:pt>
                <c:pt idx="31">
                  <c:v>761.8585338589015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9691783"/>
        <c:axId val="58884316"/>
      </c:scatterChart>
      <c:valAx>
        <c:axId val="9691783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4316"/>
        <c:crosses val="autoZero"/>
        <c:crossBetween val="midCat"/>
        <c:dispUnits/>
      </c:valAx>
      <c:valAx>
        <c:axId val="5888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9178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64</xdr:row>
      <xdr:rowOff>123825</xdr:rowOff>
    </xdr:from>
    <xdr:to>
      <xdr:col>14</xdr:col>
      <xdr:colOff>38100</xdr:colOff>
      <xdr:row>86</xdr:row>
      <xdr:rowOff>114300</xdr:rowOff>
    </xdr:to>
    <xdr:graphicFrame>
      <xdr:nvGraphicFramePr>
        <xdr:cNvPr id="1" name="Chart 2"/>
        <xdr:cNvGraphicFramePr/>
      </xdr:nvGraphicFramePr>
      <xdr:xfrm>
        <a:off x="4448175" y="10420350"/>
        <a:ext cx="4495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123825</xdr:rowOff>
    </xdr:from>
    <xdr:to>
      <xdr:col>6</xdr:col>
      <xdr:colOff>409575</xdr:colOff>
      <xdr:row>86</xdr:row>
      <xdr:rowOff>114300</xdr:rowOff>
    </xdr:to>
    <xdr:graphicFrame>
      <xdr:nvGraphicFramePr>
        <xdr:cNvPr id="2" name="Chart 3"/>
        <xdr:cNvGraphicFramePr/>
      </xdr:nvGraphicFramePr>
      <xdr:xfrm>
        <a:off x="0" y="10420350"/>
        <a:ext cx="43148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40</xdr:row>
      <xdr:rowOff>0</xdr:rowOff>
    </xdr:from>
    <xdr:to>
      <xdr:col>13</xdr:col>
      <xdr:colOff>590550</xdr:colOff>
      <xdr:row>63</xdr:row>
      <xdr:rowOff>161925</xdr:rowOff>
    </xdr:to>
    <xdr:graphicFrame>
      <xdr:nvGraphicFramePr>
        <xdr:cNvPr id="3" name="Chart 17"/>
        <xdr:cNvGraphicFramePr/>
      </xdr:nvGraphicFramePr>
      <xdr:xfrm>
        <a:off x="4400550" y="6372225"/>
        <a:ext cx="44862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2" ht="18">
      <c r="A1" s="49"/>
      <c r="B1" s="49"/>
      <c r="C1" s="49"/>
      <c r="D1" s="49"/>
      <c r="E1" s="49"/>
      <c r="F1" s="87" t="s">
        <v>188</v>
      </c>
      <c r="G1" s="49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49"/>
      <c r="E2" s="49"/>
      <c r="F2" s="87"/>
      <c r="G2" s="49"/>
      <c r="H2" s="49"/>
      <c r="I2" s="49"/>
      <c r="J2" s="49"/>
      <c r="K2" s="49"/>
      <c r="L2" s="49"/>
    </row>
    <row r="3" spans="1:12" ht="12.75" customHeight="1">
      <c r="A3" s="49"/>
      <c r="B3" s="11" t="s">
        <v>111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 customHeight="1">
      <c r="A4" s="49"/>
      <c r="B4" s="11" t="s">
        <v>112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11" t="s">
        <v>114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 customHeight="1">
      <c r="A6" s="49"/>
      <c r="B6" s="11" t="s">
        <v>113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 customHeight="1">
      <c r="A7" s="49"/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customHeight="1">
      <c r="A8" s="49"/>
      <c r="B8" s="11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 customHeight="1">
      <c r="A9" s="49"/>
      <c r="B9" s="114" t="s">
        <v>254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2.75" customHeight="1">
      <c r="A10" s="49"/>
      <c r="B10" s="49"/>
      <c r="C10" s="49"/>
      <c r="D10" s="49"/>
      <c r="E10" s="49"/>
      <c r="F10" s="87"/>
      <c r="G10" s="49"/>
      <c r="H10" s="49"/>
      <c r="I10" s="49"/>
      <c r="J10" s="49"/>
      <c r="K10" s="49"/>
      <c r="L10" s="49"/>
    </row>
    <row r="11" spans="1:12" ht="17.25" customHeight="1">
      <c r="A11" s="49"/>
      <c r="B11" s="49"/>
      <c r="C11" s="49"/>
      <c r="D11" s="88"/>
      <c r="E11" s="49"/>
      <c r="F11" s="90" t="s">
        <v>197</v>
      </c>
      <c r="G11" s="49"/>
      <c r="H11" s="49"/>
      <c r="I11" s="49"/>
      <c r="J11" s="49"/>
      <c r="K11" s="49"/>
      <c r="L11" s="49"/>
    </row>
    <row r="12" spans="1:12" ht="12.75" customHeight="1">
      <c r="A12" s="49"/>
      <c r="B12" s="49"/>
      <c r="C12" s="49"/>
      <c r="D12" s="88"/>
      <c r="E12" s="49"/>
      <c r="F12" s="49"/>
      <c r="G12" s="49"/>
      <c r="H12" s="49"/>
      <c r="I12" s="49"/>
      <c r="J12" s="49"/>
      <c r="K12" s="49"/>
      <c r="L12" s="49"/>
    </row>
    <row r="13" spans="1:12" ht="12.75" customHeight="1">
      <c r="A13" s="49"/>
      <c r="B13" s="48" t="s">
        <v>239</v>
      </c>
      <c r="C13" s="49"/>
      <c r="D13" s="88"/>
      <c r="E13" s="49"/>
      <c r="F13" s="49"/>
      <c r="G13" s="49"/>
      <c r="H13" s="49"/>
      <c r="I13" s="49"/>
      <c r="J13" s="49"/>
      <c r="K13" s="49"/>
      <c r="L13" s="49"/>
    </row>
    <row r="14" spans="1:12" ht="12.75" customHeight="1">
      <c r="A14" s="49"/>
      <c r="B14" s="48" t="s">
        <v>240</v>
      </c>
      <c r="C14" s="49"/>
      <c r="D14" s="88"/>
      <c r="E14" s="49"/>
      <c r="F14" s="49"/>
      <c r="G14" s="49"/>
      <c r="H14" s="49"/>
      <c r="I14" s="49"/>
      <c r="J14" s="49"/>
      <c r="K14" s="49"/>
      <c r="L14" s="49"/>
    </row>
    <row r="15" spans="1:12" ht="12.75" customHeight="1">
      <c r="A15" s="49"/>
      <c r="B15" s="48" t="s">
        <v>126</v>
      </c>
      <c r="C15" s="49"/>
      <c r="D15" s="88"/>
      <c r="E15" s="49"/>
      <c r="F15" s="49"/>
      <c r="G15" s="49"/>
      <c r="H15" s="49"/>
      <c r="I15" s="49"/>
      <c r="J15" s="49"/>
      <c r="K15" s="49"/>
      <c r="L15" s="49"/>
    </row>
    <row r="16" spans="1:12" ht="12.75" customHeight="1">
      <c r="A16" s="49"/>
      <c r="B16" s="48" t="s">
        <v>127</v>
      </c>
      <c r="C16" s="49"/>
      <c r="D16" s="88"/>
      <c r="E16" s="49"/>
      <c r="F16" s="49"/>
      <c r="G16" s="49"/>
      <c r="H16" s="49"/>
      <c r="I16" s="49"/>
      <c r="J16" s="49"/>
      <c r="K16" s="49"/>
      <c r="L16" s="49"/>
    </row>
    <row r="17" spans="1:12" ht="12.75" customHeight="1">
      <c r="A17" s="49"/>
      <c r="B17" s="48" t="s">
        <v>128</v>
      </c>
      <c r="C17" s="49"/>
      <c r="D17" s="88"/>
      <c r="E17" s="49"/>
      <c r="F17" s="49"/>
      <c r="G17" s="49"/>
      <c r="H17" s="49"/>
      <c r="I17" s="49"/>
      <c r="J17" s="49"/>
      <c r="K17" s="49"/>
      <c r="L17" s="49"/>
    </row>
    <row r="18" spans="1:12" ht="12.75" customHeight="1">
      <c r="A18" s="49"/>
      <c r="B18" s="49"/>
      <c r="C18" s="49"/>
      <c r="D18" s="88"/>
      <c r="E18" s="49"/>
      <c r="F18" s="49"/>
      <c r="G18" s="49"/>
      <c r="H18" s="49"/>
      <c r="I18" s="49"/>
      <c r="J18" s="49"/>
      <c r="K18" s="49"/>
      <c r="L18" s="49"/>
    </row>
    <row r="19" spans="1:12" ht="12.75" customHeight="1">
      <c r="A19" s="49"/>
      <c r="B19" s="48" t="s">
        <v>1</v>
      </c>
      <c r="C19" s="49"/>
      <c r="D19" s="88"/>
      <c r="E19" s="49"/>
      <c r="F19" s="49"/>
      <c r="G19" s="49"/>
      <c r="H19" s="49"/>
      <c r="I19" s="49"/>
      <c r="J19" s="49"/>
      <c r="K19" s="49"/>
      <c r="L19" s="49"/>
    </row>
    <row r="20" spans="1:12" ht="12.75" customHeight="1">
      <c r="A20" s="49"/>
      <c r="B20" s="48" t="s">
        <v>103</v>
      </c>
      <c r="C20" s="49"/>
      <c r="D20" s="88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A21" s="49"/>
      <c r="B21" s="48" t="s">
        <v>102</v>
      </c>
      <c r="C21" s="49"/>
      <c r="D21" s="88"/>
      <c r="E21" s="49"/>
      <c r="F21" s="49"/>
      <c r="G21" s="49"/>
      <c r="H21" s="49"/>
      <c r="I21" s="49"/>
      <c r="J21" s="49"/>
      <c r="K21" s="49"/>
      <c r="L21" s="49"/>
    </row>
    <row r="22" spans="1:12" ht="12.75" customHeight="1">
      <c r="A22" s="49"/>
      <c r="B22" s="48" t="s">
        <v>129</v>
      </c>
      <c r="C22" s="49"/>
      <c r="D22" s="88"/>
      <c r="E22" s="49"/>
      <c r="F22" s="49"/>
      <c r="G22" s="49"/>
      <c r="H22" s="49"/>
      <c r="I22" s="49"/>
      <c r="J22" s="49"/>
      <c r="K22" s="49"/>
      <c r="L22" s="49"/>
    </row>
    <row r="23" spans="1:12" ht="12.75" customHeight="1">
      <c r="A23" s="49"/>
      <c r="B23" s="48" t="s">
        <v>130</v>
      </c>
      <c r="C23" s="49"/>
      <c r="D23" s="88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49"/>
      <c r="B24" s="48" t="s">
        <v>104</v>
      </c>
      <c r="C24" s="49"/>
      <c r="D24" s="88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A25" s="49"/>
      <c r="B25" s="48"/>
      <c r="C25" s="49"/>
      <c r="D25" s="88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9"/>
      <c r="B26" s="48" t="s">
        <v>90</v>
      </c>
      <c r="C26" s="49"/>
      <c r="D26" s="88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49"/>
      <c r="B27" s="48" t="s">
        <v>94</v>
      </c>
      <c r="C27" s="49"/>
      <c r="D27" s="88"/>
      <c r="E27" s="49"/>
      <c r="F27" s="49"/>
      <c r="G27" s="49"/>
      <c r="H27" s="49"/>
      <c r="I27" s="49"/>
      <c r="J27" s="49"/>
      <c r="K27" s="49"/>
      <c r="L27" s="49"/>
    </row>
    <row r="28" spans="1:12" ht="12.75" customHeight="1">
      <c r="A28" s="49"/>
      <c r="B28" s="48" t="s">
        <v>135</v>
      </c>
      <c r="C28" s="49"/>
      <c r="D28" s="88"/>
      <c r="E28" s="49"/>
      <c r="F28" s="49"/>
      <c r="G28" s="49"/>
      <c r="H28" s="49"/>
      <c r="I28" s="49"/>
      <c r="J28" s="49"/>
      <c r="K28" s="49"/>
      <c r="L28" s="49"/>
    </row>
    <row r="29" spans="1:12" ht="12.75" customHeight="1">
      <c r="A29" s="49"/>
      <c r="B29" s="48" t="s">
        <v>107</v>
      </c>
      <c r="C29" s="49"/>
      <c r="D29" s="88"/>
      <c r="E29" s="49"/>
      <c r="F29" s="49"/>
      <c r="G29" s="49"/>
      <c r="H29" s="49"/>
      <c r="I29" s="49"/>
      <c r="J29" s="49"/>
      <c r="K29" s="49"/>
      <c r="L29" s="49"/>
    </row>
    <row r="30" spans="1:12" ht="12.75" customHeight="1">
      <c r="A30" s="49"/>
      <c r="B30" s="48" t="s">
        <v>278</v>
      </c>
      <c r="C30" s="49"/>
      <c r="D30" s="88"/>
      <c r="E30" s="49"/>
      <c r="F30" s="49"/>
      <c r="G30" s="49"/>
      <c r="H30" s="49"/>
      <c r="I30" s="49"/>
      <c r="J30" s="49"/>
      <c r="K30" s="49"/>
      <c r="L30" s="49"/>
    </row>
    <row r="31" spans="1:12" ht="12.75" customHeight="1">
      <c r="A31" s="49"/>
      <c r="B31" s="48" t="s">
        <v>106</v>
      </c>
      <c r="C31" s="49"/>
      <c r="D31" s="88"/>
      <c r="E31" s="49"/>
      <c r="F31" s="49"/>
      <c r="G31" s="49"/>
      <c r="H31" s="49"/>
      <c r="I31" s="49"/>
      <c r="J31" s="49"/>
      <c r="K31" s="49"/>
      <c r="L31" s="49"/>
    </row>
    <row r="32" spans="1:12" ht="12.75" customHeight="1">
      <c r="A32" s="49"/>
      <c r="B32" s="48" t="s">
        <v>105</v>
      </c>
      <c r="C32" s="49"/>
      <c r="D32" s="88"/>
      <c r="E32" s="49"/>
      <c r="F32" s="49"/>
      <c r="G32" s="49"/>
      <c r="H32" s="49"/>
      <c r="I32" s="49"/>
      <c r="J32" s="49"/>
      <c r="K32" s="49"/>
      <c r="L32" s="49"/>
    </row>
    <row r="33" spans="1:12" ht="12.75" customHeight="1">
      <c r="A33" s="49"/>
      <c r="B33" s="48"/>
      <c r="C33" s="49"/>
      <c r="D33" s="88"/>
      <c r="E33" s="49"/>
      <c r="F33" s="49"/>
      <c r="G33" s="49"/>
      <c r="H33" s="49"/>
      <c r="I33" s="49"/>
      <c r="J33" s="49"/>
      <c r="K33" s="49"/>
      <c r="L33" s="49"/>
    </row>
    <row r="34" spans="1:12" ht="12.75" customHeight="1">
      <c r="A34" s="49"/>
      <c r="B34" s="48" t="s">
        <v>97</v>
      </c>
      <c r="C34" s="49"/>
      <c r="D34" s="88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9"/>
      <c r="B35" s="48" t="s">
        <v>98</v>
      </c>
      <c r="C35" s="49"/>
      <c r="D35" s="88"/>
      <c r="E35" s="49"/>
      <c r="F35" s="49"/>
      <c r="G35" s="49"/>
      <c r="H35" s="49"/>
      <c r="I35" s="49"/>
      <c r="J35" s="49"/>
      <c r="K35" s="49"/>
      <c r="L35" s="49"/>
    </row>
    <row r="36" spans="1:12" ht="12.75" customHeight="1">
      <c r="A36" s="49"/>
      <c r="B36" s="48" t="s">
        <v>144</v>
      </c>
      <c r="C36" s="49"/>
      <c r="D36" s="88"/>
      <c r="E36" s="49"/>
      <c r="F36" s="49"/>
      <c r="G36" s="49"/>
      <c r="H36" s="49"/>
      <c r="I36" s="49"/>
      <c r="J36" s="49"/>
      <c r="K36" s="49"/>
      <c r="L36" s="49"/>
    </row>
    <row r="37" spans="1:12" ht="12.75" customHeight="1">
      <c r="A37" s="49"/>
      <c r="B37" s="48" t="s">
        <v>145</v>
      </c>
      <c r="C37" s="49"/>
      <c r="D37" s="88"/>
      <c r="E37" s="49"/>
      <c r="F37" s="49"/>
      <c r="G37" s="49"/>
      <c r="H37" s="49"/>
      <c r="I37" s="49"/>
      <c r="J37" s="49"/>
      <c r="K37" s="49"/>
      <c r="L37" s="49"/>
    </row>
    <row r="38" spans="1:12" ht="12.75" customHeight="1">
      <c r="A38" s="49"/>
      <c r="B38" s="48" t="s">
        <v>146</v>
      </c>
      <c r="C38" s="49"/>
      <c r="D38" s="88"/>
      <c r="E38" s="49"/>
      <c r="F38" s="49"/>
      <c r="G38" s="49"/>
      <c r="H38" s="49"/>
      <c r="I38" s="49"/>
      <c r="J38" s="49"/>
      <c r="K38" s="49"/>
      <c r="L38" s="49"/>
    </row>
    <row r="39" spans="1:12" ht="12.75" customHeight="1">
      <c r="A39" s="49"/>
      <c r="B39" s="48"/>
      <c r="C39" s="49"/>
      <c r="D39" s="88"/>
      <c r="E39" s="49"/>
      <c r="F39" s="49"/>
      <c r="G39" s="49"/>
      <c r="H39" s="49"/>
      <c r="I39" s="49"/>
      <c r="J39" s="49"/>
      <c r="K39" s="49"/>
      <c r="L39" s="49"/>
    </row>
    <row r="40" spans="1:12" ht="12.75" customHeight="1">
      <c r="A40" s="49"/>
      <c r="B40" s="48" t="s">
        <v>99</v>
      </c>
      <c r="C40" s="49"/>
      <c r="D40" s="88"/>
      <c r="E40" s="49"/>
      <c r="F40" s="49"/>
      <c r="G40" s="49"/>
      <c r="H40" s="49"/>
      <c r="I40" s="49"/>
      <c r="J40" s="49"/>
      <c r="K40" s="49"/>
      <c r="L40" s="49"/>
    </row>
    <row r="41" spans="1:12" ht="12.75" customHeight="1">
      <c r="A41" s="49"/>
      <c r="B41" s="48" t="s">
        <v>120</v>
      </c>
      <c r="C41" s="49"/>
      <c r="D41" s="88"/>
      <c r="E41" s="49"/>
      <c r="F41" s="49"/>
      <c r="G41" s="49"/>
      <c r="H41" s="49"/>
      <c r="I41" s="49"/>
      <c r="J41" s="49"/>
      <c r="K41" s="49"/>
      <c r="L41" s="49"/>
    </row>
    <row r="42" spans="1:12" ht="12.75" customHeight="1">
      <c r="A42" s="49"/>
      <c r="B42" s="48" t="s">
        <v>189</v>
      </c>
      <c r="C42" s="49"/>
      <c r="D42" s="88"/>
      <c r="E42" s="49"/>
      <c r="F42" s="49"/>
      <c r="G42" s="49"/>
      <c r="H42" s="49"/>
      <c r="I42" s="49"/>
      <c r="J42" s="49"/>
      <c r="K42" s="49"/>
      <c r="L42" s="49"/>
    </row>
    <row r="43" spans="1:12" ht="12.75" customHeight="1">
      <c r="A43" s="49"/>
      <c r="B43" s="48" t="s">
        <v>190</v>
      </c>
      <c r="C43" s="49"/>
      <c r="D43" s="88"/>
      <c r="E43" s="49"/>
      <c r="F43" s="49"/>
      <c r="G43" s="49"/>
      <c r="H43" s="49"/>
      <c r="I43" s="49"/>
      <c r="J43" s="49"/>
      <c r="K43" s="49"/>
      <c r="L43" s="49"/>
    </row>
    <row r="44" spans="1:12" ht="12.75" customHeight="1">
      <c r="A44" s="49"/>
      <c r="B44" s="48" t="s">
        <v>198</v>
      </c>
      <c r="C44" s="49"/>
      <c r="D44" s="88"/>
      <c r="E44" s="49"/>
      <c r="F44" s="49"/>
      <c r="G44" s="49"/>
      <c r="H44" s="49"/>
      <c r="I44" s="49"/>
      <c r="J44" s="49"/>
      <c r="K44" s="49"/>
      <c r="L44" s="49"/>
    </row>
    <row r="45" spans="1:12" ht="12.75" customHeight="1">
      <c r="A45" s="49"/>
      <c r="B45" s="48"/>
      <c r="C45" s="49"/>
      <c r="D45" s="88"/>
      <c r="E45" s="49"/>
      <c r="F45" s="49"/>
      <c r="G45" s="49"/>
      <c r="H45" s="49"/>
      <c r="I45" s="49"/>
      <c r="J45" s="49"/>
      <c r="K45" s="49"/>
      <c r="L45" s="49"/>
    </row>
    <row r="46" spans="1:12" ht="12.75" customHeight="1">
      <c r="A46" s="49"/>
      <c r="B46" s="48" t="s">
        <v>121</v>
      </c>
      <c r="C46" s="49"/>
      <c r="D46" s="88"/>
      <c r="E46" s="49"/>
      <c r="F46" s="49"/>
      <c r="G46" s="49"/>
      <c r="H46" s="49"/>
      <c r="I46" s="49"/>
      <c r="J46" s="49"/>
      <c r="K46" s="49"/>
      <c r="L46" s="49"/>
    </row>
    <row r="47" spans="1:12" ht="12.75" customHeight="1">
      <c r="A47" s="49"/>
      <c r="B47" s="48" t="s">
        <v>123</v>
      </c>
      <c r="C47" s="49"/>
      <c r="D47" s="88"/>
      <c r="E47" s="49"/>
      <c r="F47" s="49"/>
      <c r="G47" s="49"/>
      <c r="H47" s="49"/>
      <c r="I47" s="49"/>
      <c r="J47" s="49"/>
      <c r="K47" s="49"/>
      <c r="L47" s="49"/>
    </row>
    <row r="48" spans="1:12" ht="12.75" customHeight="1">
      <c r="A48" s="49"/>
      <c r="B48" s="48" t="s">
        <v>91</v>
      </c>
      <c r="C48" s="49"/>
      <c r="D48" s="88"/>
      <c r="E48" s="49"/>
      <c r="F48" s="49"/>
      <c r="G48" s="49"/>
      <c r="H48" s="49"/>
      <c r="I48" s="49"/>
      <c r="J48" s="49"/>
      <c r="K48" s="49"/>
      <c r="L48" s="49"/>
    </row>
    <row r="49" spans="1:12" ht="12.75" customHeight="1">
      <c r="A49" s="49"/>
      <c r="B49" s="48" t="s">
        <v>93</v>
      </c>
      <c r="C49" s="49"/>
      <c r="D49" s="88"/>
      <c r="E49" s="49"/>
      <c r="F49" s="49"/>
      <c r="G49" s="49"/>
      <c r="H49" s="49"/>
      <c r="I49" s="49"/>
      <c r="J49" s="49"/>
      <c r="K49" s="49"/>
      <c r="L49" s="49"/>
    </row>
    <row r="50" spans="1:12" ht="12.75" customHeight="1">
      <c r="A50" s="49"/>
      <c r="B50" s="48" t="s">
        <v>92</v>
      </c>
      <c r="C50" s="49"/>
      <c r="D50" s="88"/>
      <c r="E50" s="49"/>
      <c r="F50" s="49"/>
      <c r="G50" s="49"/>
      <c r="H50" s="49"/>
      <c r="I50" s="49"/>
      <c r="J50" s="49"/>
      <c r="K50" s="49"/>
      <c r="L50" s="49"/>
    </row>
    <row r="51" spans="1:12" ht="12.75" customHeight="1">
      <c r="A51" s="49"/>
      <c r="B51" s="48" t="s">
        <v>108</v>
      </c>
      <c r="C51" s="49"/>
      <c r="D51" s="88"/>
      <c r="E51" s="49"/>
      <c r="F51" s="49"/>
      <c r="G51" s="49"/>
      <c r="H51" s="49"/>
      <c r="I51" s="49"/>
      <c r="J51" s="49"/>
      <c r="K51" s="49"/>
      <c r="L51" s="49"/>
    </row>
    <row r="52" spans="1:12" ht="12.75" customHeight="1">
      <c r="A52" s="49"/>
      <c r="B52" s="48" t="s">
        <v>110</v>
      </c>
      <c r="C52" s="49"/>
      <c r="D52" s="88"/>
      <c r="E52" s="49"/>
      <c r="F52" s="49"/>
      <c r="G52" s="49"/>
      <c r="H52" s="49"/>
      <c r="I52" s="49"/>
      <c r="J52" s="49"/>
      <c r="K52" s="49"/>
      <c r="L52" s="49"/>
    </row>
    <row r="53" spans="1:12" ht="12.75" customHeight="1">
      <c r="A53" s="49"/>
      <c r="B53" s="48" t="s">
        <v>109</v>
      </c>
      <c r="C53" s="49"/>
      <c r="D53" s="88"/>
      <c r="E53" s="49"/>
      <c r="F53" s="49"/>
      <c r="G53" s="49"/>
      <c r="H53" s="49"/>
      <c r="I53" s="49"/>
      <c r="J53" s="49"/>
      <c r="K53" s="49"/>
      <c r="L53" s="49"/>
    </row>
    <row r="54" spans="1:12" ht="12.75" customHeight="1">
      <c r="A54" s="49"/>
      <c r="B54" s="48"/>
      <c r="C54" s="49"/>
      <c r="D54" s="88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49"/>
      <c r="B55" s="48" t="s">
        <v>100</v>
      </c>
      <c r="C55" s="49"/>
      <c r="D55" s="88"/>
      <c r="E55" s="49"/>
      <c r="F55" s="49"/>
      <c r="G55" s="49"/>
      <c r="H55" s="49"/>
      <c r="I55" s="49"/>
      <c r="J55" s="49"/>
      <c r="K55" s="49"/>
      <c r="L55" s="49"/>
    </row>
    <row r="56" spans="1:12" ht="12.75" customHeight="1">
      <c r="A56" s="49"/>
      <c r="B56" s="48" t="s">
        <v>101</v>
      </c>
      <c r="C56" s="49"/>
      <c r="D56" s="88"/>
      <c r="E56" s="49"/>
      <c r="F56" s="49"/>
      <c r="G56" s="49"/>
      <c r="H56" s="49"/>
      <c r="I56" s="49"/>
      <c r="J56" s="49"/>
      <c r="K56" s="49"/>
      <c r="L56" s="49"/>
    </row>
    <row r="57" spans="1:12" ht="12.75" customHeight="1">
      <c r="A57" s="49"/>
      <c r="B57" s="48" t="s">
        <v>131</v>
      </c>
      <c r="C57" s="49"/>
      <c r="D57" s="88"/>
      <c r="E57" s="49"/>
      <c r="F57" s="49"/>
      <c r="G57" s="49"/>
      <c r="H57" s="49"/>
      <c r="I57" s="49"/>
      <c r="J57" s="49"/>
      <c r="K57" s="49"/>
      <c r="L57" s="49"/>
    </row>
    <row r="58" spans="1:12" ht="12.75" customHeight="1">
      <c r="A58" s="49"/>
      <c r="B58" s="48" t="s">
        <v>132</v>
      </c>
      <c r="C58" s="49"/>
      <c r="D58" s="88"/>
      <c r="E58" s="49"/>
      <c r="F58" s="49"/>
      <c r="G58" s="49"/>
      <c r="H58" s="49"/>
      <c r="I58" s="49"/>
      <c r="J58" s="49"/>
      <c r="K58" s="49"/>
      <c r="L58" s="49"/>
    </row>
    <row r="59" spans="1:12" ht="12.75" customHeight="1">
      <c r="A59" s="49"/>
      <c r="B59" s="48" t="s">
        <v>141</v>
      </c>
      <c r="C59" s="49"/>
      <c r="D59" s="88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49"/>
      <c r="B60" s="48" t="s">
        <v>142</v>
      </c>
      <c r="C60" s="49"/>
      <c r="D60" s="88"/>
      <c r="E60" s="49"/>
      <c r="F60" s="49"/>
      <c r="G60" s="49"/>
      <c r="H60" s="49"/>
      <c r="I60" s="49"/>
      <c r="J60" s="49"/>
      <c r="K60" s="49"/>
      <c r="L60" s="49"/>
    </row>
    <row r="61" spans="1:12" ht="12.75" customHeight="1">
      <c r="A61" s="49"/>
      <c r="B61" s="48" t="s">
        <v>143</v>
      </c>
      <c r="C61" s="49"/>
      <c r="D61" s="88"/>
      <c r="E61" s="49"/>
      <c r="F61" s="49"/>
      <c r="G61" s="49"/>
      <c r="H61" s="49"/>
      <c r="I61" s="49"/>
      <c r="J61" s="49"/>
      <c r="K61" s="49"/>
      <c r="L61" s="49"/>
    </row>
    <row r="62" spans="1:12" ht="12.75" customHeight="1">
      <c r="A62" s="49"/>
      <c r="B62" s="48"/>
      <c r="C62" s="49"/>
      <c r="D62" s="88"/>
      <c r="E62" s="49"/>
      <c r="F62" s="49"/>
      <c r="G62" s="49"/>
      <c r="H62" s="49"/>
      <c r="I62" s="49"/>
      <c r="J62" s="49"/>
      <c r="K62" s="49"/>
      <c r="L62" s="49"/>
    </row>
    <row r="63" spans="1:12" ht="12.75" customHeight="1">
      <c r="A63" s="49"/>
      <c r="B63" s="48" t="s">
        <v>115</v>
      </c>
      <c r="C63" s="49"/>
      <c r="D63" s="88"/>
      <c r="E63" s="49"/>
      <c r="F63" s="49"/>
      <c r="G63" s="49"/>
      <c r="H63" s="49"/>
      <c r="I63" s="49"/>
      <c r="J63" s="49"/>
      <c r="K63" s="49"/>
      <c r="L63" s="49"/>
    </row>
    <row r="64" spans="1:12" ht="12.75" customHeight="1">
      <c r="A64" s="49"/>
      <c r="B64" s="48" t="s">
        <v>116</v>
      </c>
      <c r="C64" s="49"/>
      <c r="D64" s="88"/>
      <c r="E64" s="49"/>
      <c r="F64" s="49"/>
      <c r="G64" s="49"/>
      <c r="H64" s="49"/>
      <c r="I64" s="49"/>
      <c r="J64" s="49"/>
      <c r="K64" s="49"/>
      <c r="L64" s="49"/>
    </row>
    <row r="65" spans="1:12" ht="12.75" customHeight="1">
      <c r="A65" s="49"/>
      <c r="B65" s="48" t="s">
        <v>117</v>
      </c>
      <c r="C65" s="49"/>
      <c r="D65" s="88"/>
      <c r="E65" s="49"/>
      <c r="F65" s="49"/>
      <c r="G65" s="49"/>
      <c r="H65" s="49"/>
      <c r="I65" s="49"/>
      <c r="J65" s="49"/>
      <c r="K65" s="49"/>
      <c r="L65" s="49"/>
    </row>
    <row r="66" spans="1:12" ht="12.75" customHeight="1">
      <c r="A66" s="49"/>
      <c r="B66" s="48" t="s">
        <v>122</v>
      </c>
      <c r="C66" s="49"/>
      <c r="D66" s="88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49"/>
      <c r="B67" s="48"/>
      <c r="C67" s="49"/>
      <c r="D67" s="88"/>
      <c r="E67" s="49"/>
      <c r="F67" s="49"/>
      <c r="G67" s="49"/>
      <c r="H67" s="49"/>
      <c r="I67" s="49"/>
      <c r="J67" s="49"/>
      <c r="K67" s="49"/>
      <c r="L67" s="49"/>
    </row>
    <row r="68" spans="1:12" ht="15.75">
      <c r="A68" s="49"/>
      <c r="B68" s="89"/>
      <c r="C68" s="49"/>
      <c r="D68" s="49"/>
      <c r="E68" s="49"/>
      <c r="F68" s="90" t="s">
        <v>170</v>
      </c>
      <c r="G68" s="49"/>
      <c r="H68" s="49"/>
      <c r="I68" s="49"/>
      <c r="J68" s="49"/>
      <c r="K68" s="49"/>
      <c r="L68" s="49"/>
    </row>
    <row r="69" spans="1:12" ht="12.75">
      <c r="A69" s="49"/>
      <c r="B69" s="8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2.75">
      <c r="A70" s="49"/>
      <c r="B70" s="116" t="s">
        <v>155</v>
      </c>
      <c r="C70" s="115"/>
      <c r="D70" s="115"/>
      <c r="E70" s="115"/>
      <c r="F70" s="115"/>
      <c r="G70" s="115"/>
      <c r="H70" s="49"/>
      <c r="I70" s="49"/>
      <c r="J70" s="49"/>
      <c r="K70" s="49"/>
      <c r="L70" s="49"/>
    </row>
    <row r="71" spans="1:12" ht="12.75">
      <c r="A71" s="98"/>
      <c r="B71" s="99" t="s">
        <v>156</v>
      </c>
      <c r="C71" s="100"/>
      <c r="D71" s="100"/>
      <c r="E71" s="49"/>
      <c r="F71" s="49"/>
      <c r="G71" s="49"/>
      <c r="H71" s="49"/>
      <c r="I71" s="49"/>
      <c r="J71" s="49"/>
      <c r="K71" s="49"/>
      <c r="L71" s="49"/>
    </row>
    <row r="72" spans="1:12" ht="12.75">
      <c r="A72" s="100"/>
      <c r="B72" s="99" t="s">
        <v>157</v>
      </c>
      <c r="C72" s="100"/>
      <c r="D72" s="100"/>
      <c r="E72" s="49"/>
      <c r="F72" s="49"/>
      <c r="G72" s="49"/>
      <c r="H72" s="49"/>
      <c r="I72" s="49"/>
      <c r="J72" s="49"/>
      <c r="K72" s="49"/>
      <c r="L72" s="49"/>
    </row>
    <row r="73" spans="1:12" ht="12.75">
      <c r="A73" s="100"/>
      <c r="B73" s="99" t="s">
        <v>158</v>
      </c>
      <c r="C73" s="100"/>
      <c r="D73" s="100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100"/>
      <c r="B74" s="99" t="s">
        <v>184</v>
      </c>
      <c r="C74" s="100"/>
      <c r="D74" s="100"/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100"/>
      <c r="B75" s="99" t="s">
        <v>159</v>
      </c>
      <c r="C75" s="100"/>
      <c r="D75" s="100"/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100"/>
      <c r="B76" s="99" t="s">
        <v>160</v>
      </c>
      <c r="C76" s="100"/>
      <c r="D76" s="100"/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100"/>
      <c r="B77" s="99" t="s">
        <v>161</v>
      </c>
      <c r="C77" s="100"/>
      <c r="D77" s="100"/>
      <c r="E77" s="49"/>
      <c r="F77" s="49"/>
      <c r="G77" s="49"/>
      <c r="H77" s="49"/>
      <c r="I77" s="49"/>
      <c r="J77" s="49"/>
      <c r="K77" s="49"/>
      <c r="L77" s="49"/>
    </row>
    <row r="78" spans="1:12" ht="12.75">
      <c r="A78" s="100"/>
      <c r="B78" s="99" t="s">
        <v>162</v>
      </c>
      <c r="C78" s="100"/>
      <c r="D78" s="100"/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100"/>
      <c r="B79" s="99"/>
      <c r="C79" s="100"/>
      <c r="D79" s="100"/>
      <c r="E79" s="49"/>
      <c r="F79" s="49"/>
      <c r="G79" s="49"/>
      <c r="H79" s="49"/>
      <c r="I79" s="49"/>
      <c r="J79" s="49"/>
      <c r="K79" s="49"/>
      <c r="L79" s="49"/>
    </row>
    <row r="80" spans="1:12" ht="12.75">
      <c r="A80" s="100"/>
      <c r="B80" s="117" t="s">
        <v>164</v>
      </c>
      <c r="C80" s="118"/>
      <c r="D80" s="118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00"/>
      <c r="B81" s="99" t="s">
        <v>163</v>
      </c>
      <c r="C81" s="100"/>
      <c r="D81" s="100"/>
      <c r="E81" s="49"/>
      <c r="F81" s="49"/>
      <c r="G81" s="49"/>
      <c r="H81" s="49"/>
      <c r="I81" s="49"/>
      <c r="J81" s="49"/>
      <c r="K81" s="49"/>
      <c r="L81" s="49"/>
    </row>
    <row r="82" spans="1:12" ht="12.75">
      <c r="A82" s="100"/>
      <c r="B82" s="99" t="s">
        <v>165</v>
      </c>
      <c r="C82" s="100"/>
      <c r="D82" s="100"/>
      <c r="E82" s="49"/>
      <c r="F82" s="49"/>
      <c r="G82" s="49"/>
      <c r="H82" s="49"/>
      <c r="I82" s="49"/>
      <c r="J82" s="49"/>
      <c r="K82" s="49"/>
      <c r="L82" s="49"/>
    </row>
    <row r="83" spans="1:12" ht="12.75">
      <c r="A83" s="100"/>
      <c r="B83" s="99" t="s">
        <v>166</v>
      </c>
      <c r="C83" s="100"/>
      <c r="D83" s="100"/>
      <c r="E83" s="49"/>
      <c r="F83" s="49"/>
      <c r="G83" s="49"/>
      <c r="H83" s="49"/>
      <c r="I83" s="49"/>
      <c r="J83" s="49"/>
      <c r="K83" s="49"/>
      <c r="L83" s="49"/>
    </row>
    <row r="84" spans="1:12" ht="12.75">
      <c r="A84" s="100"/>
      <c r="B84" s="99" t="s">
        <v>169</v>
      </c>
      <c r="C84" s="100"/>
      <c r="D84" s="100"/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100"/>
      <c r="B85" s="99" t="s">
        <v>185</v>
      </c>
      <c r="C85" s="100"/>
      <c r="D85" s="100"/>
      <c r="E85" s="49"/>
      <c r="F85" s="49"/>
      <c r="G85" s="49"/>
      <c r="H85" s="49"/>
      <c r="I85" s="49"/>
      <c r="J85" s="49"/>
      <c r="K85" s="49"/>
      <c r="L85" s="49"/>
    </row>
    <row r="86" spans="1:12" ht="12.75">
      <c r="A86" s="100"/>
      <c r="B86" s="99"/>
      <c r="C86" s="100"/>
      <c r="D86" s="100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100"/>
      <c r="B87" s="117" t="s">
        <v>215</v>
      </c>
      <c r="C87" s="118"/>
      <c r="D87" s="118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00"/>
      <c r="B88" s="99" t="s">
        <v>216</v>
      </c>
      <c r="C88" s="100"/>
      <c r="D88" s="100"/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100"/>
      <c r="B89" s="99" t="s">
        <v>217</v>
      </c>
      <c r="C89" s="100"/>
      <c r="D89" s="100"/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100"/>
      <c r="B90" s="99"/>
      <c r="C90" s="100"/>
      <c r="D90" s="100"/>
      <c r="E90" s="49"/>
      <c r="F90" s="49"/>
      <c r="G90" s="49"/>
      <c r="H90" s="49"/>
      <c r="I90" s="49"/>
      <c r="J90" s="49"/>
      <c r="K90" s="49"/>
      <c r="L90" s="49"/>
    </row>
    <row r="91" spans="1:12" ht="12.75">
      <c r="A91" s="100"/>
      <c r="B91" s="117" t="s">
        <v>214</v>
      </c>
      <c r="C91" s="118"/>
      <c r="D91" s="118"/>
      <c r="E91" s="115"/>
      <c r="F91" s="115"/>
      <c r="G91" s="115"/>
      <c r="H91" s="115"/>
      <c r="I91" s="49"/>
      <c r="J91" s="49"/>
      <c r="K91" s="49"/>
      <c r="L91" s="49"/>
    </row>
    <row r="92" spans="1:12" ht="12.75">
      <c r="A92" s="100"/>
      <c r="B92" s="99" t="s">
        <v>171</v>
      </c>
      <c r="C92" s="100"/>
      <c r="D92" s="100"/>
      <c r="E92" s="49"/>
      <c r="F92" s="49"/>
      <c r="G92" s="49"/>
      <c r="H92" s="49"/>
      <c r="I92" s="49"/>
      <c r="J92" s="49"/>
      <c r="K92" s="49"/>
      <c r="L92" s="49"/>
    </row>
    <row r="93" spans="1:12" ht="12.75">
      <c r="A93" s="100"/>
      <c r="B93" s="99" t="s">
        <v>172</v>
      </c>
      <c r="C93" s="100"/>
      <c r="D93" s="100"/>
      <c r="E93" s="49"/>
      <c r="F93" s="49"/>
      <c r="G93" s="49"/>
      <c r="H93" s="49"/>
      <c r="I93" s="49"/>
      <c r="J93" s="49"/>
      <c r="K93" s="49"/>
      <c r="L93" s="49"/>
    </row>
    <row r="94" spans="1:12" ht="12.75">
      <c r="A94" s="100"/>
      <c r="B94" s="99" t="s">
        <v>279</v>
      </c>
      <c r="C94" s="100"/>
      <c r="D94" s="100"/>
      <c r="E94" s="49"/>
      <c r="F94" s="49"/>
      <c r="G94" s="49"/>
      <c r="H94" s="49"/>
      <c r="I94" s="49"/>
      <c r="J94" s="49"/>
      <c r="K94" s="49"/>
      <c r="L94" s="49"/>
    </row>
    <row r="95" spans="1:12" ht="12.75">
      <c r="A95" s="100"/>
      <c r="B95" s="99" t="s">
        <v>280</v>
      </c>
      <c r="C95" s="100"/>
      <c r="D95" s="100"/>
      <c r="E95" s="49"/>
      <c r="F95" s="49"/>
      <c r="G95" s="49"/>
      <c r="H95" s="49"/>
      <c r="I95" s="49"/>
      <c r="J95" s="49"/>
      <c r="K95" s="49"/>
      <c r="L95" s="49"/>
    </row>
    <row r="96" spans="1:12" ht="12.75">
      <c r="A96" s="100"/>
      <c r="B96" s="99" t="s">
        <v>281</v>
      </c>
      <c r="C96" s="100"/>
      <c r="D96" s="100"/>
      <c r="E96" s="49"/>
      <c r="F96" s="49"/>
      <c r="G96" s="49"/>
      <c r="H96" s="49"/>
      <c r="I96" s="49"/>
      <c r="J96" s="49"/>
      <c r="K96" s="49"/>
      <c r="L96" s="49"/>
    </row>
    <row r="97" spans="1:12" ht="12.75">
      <c r="A97" s="100"/>
      <c r="B97" s="99" t="s">
        <v>282</v>
      </c>
      <c r="C97" s="100"/>
      <c r="D97" s="100"/>
      <c r="E97" s="49"/>
      <c r="F97" s="49"/>
      <c r="G97" s="49"/>
      <c r="H97" s="49"/>
      <c r="I97" s="49"/>
      <c r="J97" s="49"/>
      <c r="K97" s="49"/>
      <c r="L97" s="49"/>
    </row>
    <row r="98" spans="1:12" ht="12.75">
      <c r="A98" s="100"/>
      <c r="B98" s="99"/>
      <c r="C98" s="100"/>
      <c r="D98" s="100"/>
      <c r="E98" s="49"/>
      <c r="F98" s="49"/>
      <c r="G98" s="49"/>
      <c r="H98" s="49"/>
      <c r="I98" s="49"/>
      <c r="J98" s="49"/>
      <c r="K98" s="49"/>
      <c r="L98" s="49"/>
    </row>
    <row r="99" spans="1:12" ht="12.75">
      <c r="A99" s="100"/>
      <c r="B99" s="99"/>
      <c r="C99" s="100"/>
      <c r="D99" s="100"/>
      <c r="E99" s="49"/>
      <c r="F99" s="49"/>
      <c r="G99" s="49"/>
      <c r="H99" s="49"/>
      <c r="I99" s="49"/>
      <c r="J99" s="49"/>
      <c r="K99" s="49"/>
      <c r="L99" s="49"/>
    </row>
    <row r="100" spans="1:12" ht="12.75" customHeight="1">
      <c r="A100" s="49"/>
      <c r="B100" s="48"/>
      <c r="C100" s="49"/>
      <c r="D100" s="49"/>
      <c r="E100" s="49"/>
      <c r="F100" s="90" t="s">
        <v>199</v>
      </c>
      <c r="G100" s="49"/>
      <c r="H100" s="49"/>
      <c r="I100" s="49"/>
      <c r="J100" s="49"/>
      <c r="K100" s="49"/>
      <c r="L100" s="49"/>
    </row>
    <row r="101" spans="1:12" ht="12.75" customHeight="1">
      <c r="A101" s="49"/>
      <c r="B101" s="48"/>
      <c r="C101" s="49"/>
      <c r="D101" s="49"/>
      <c r="E101" s="49"/>
      <c r="F101" s="90"/>
      <c r="G101" s="49"/>
      <c r="H101" s="49"/>
      <c r="I101" s="49"/>
      <c r="J101" s="49"/>
      <c r="K101" s="49"/>
      <c r="L101" s="49"/>
    </row>
    <row r="102" spans="1:12" ht="12.75" customHeight="1">
      <c r="A102" s="49"/>
      <c r="B102" s="116" t="s">
        <v>200</v>
      </c>
      <c r="C102" s="49"/>
      <c r="D102" s="49"/>
      <c r="E102" s="49"/>
      <c r="F102" s="90"/>
      <c r="G102" s="49"/>
      <c r="H102" s="49"/>
      <c r="I102" s="49"/>
      <c r="J102" s="49"/>
      <c r="K102" s="49"/>
      <c r="L102" s="49"/>
    </row>
    <row r="103" spans="1:12" ht="12.75" customHeight="1">
      <c r="A103" s="49"/>
      <c r="B103" s="48" t="str">
        <f>CONCATENATE("Click on the box in row ",ROW('Inputs and Results'!B7),"or row ",ROW('Inputs and Results'!B11)," to enter or remove a check indicating the tax status of the annuity.")</f>
        <v>Click on the box in row 7or row 11 to enter or remove a check indicating the tax status of the annuity.</v>
      </c>
      <c r="C103" s="49"/>
      <c r="D103" s="49"/>
      <c r="E103" s="49"/>
      <c r="F103" s="90"/>
      <c r="G103" s="49"/>
      <c r="H103" s="49"/>
      <c r="I103" s="49"/>
      <c r="J103" s="49"/>
      <c r="K103" s="49"/>
      <c r="L103" s="49"/>
    </row>
    <row r="104" spans="1:12" ht="12.75" customHeight="1">
      <c r="A104" s="49"/>
      <c r="B104" s="48" t="s">
        <v>246</v>
      </c>
      <c r="C104" s="49"/>
      <c r="D104" s="49"/>
      <c r="E104" s="49"/>
      <c r="F104" s="90"/>
      <c r="G104" s="49"/>
      <c r="H104" s="49"/>
      <c r="I104" s="49"/>
      <c r="J104" s="49"/>
      <c r="K104" s="49"/>
      <c r="L104" s="49"/>
    </row>
    <row r="105" spans="1:12" ht="12.75" customHeight="1">
      <c r="A105" s="49"/>
      <c r="B105" s="48" t="str">
        <f>CONCATENATE("and you will make a tax-free exchange into the immediate annuity, you should check the box in row ",ROW('Inputs and Results'!B7),".")</f>
        <v>and you will make a tax-free exchange into the immediate annuity, you should check the box in row 7.</v>
      </c>
      <c r="C105" s="49"/>
      <c r="D105" s="49"/>
      <c r="E105" s="49"/>
      <c r="F105" s="90"/>
      <c r="G105" s="49"/>
      <c r="H105" s="49"/>
      <c r="I105" s="49"/>
      <c r="J105" s="49"/>
      <c r="K105" s="49"/>
      <c r="L105" s="49"/>
    </row>
    <row r="106" spans="1:12" ht="12.75" customHeight="1">
      <c r="A106" s="49"/>
      <c r="B106" s="48" t="s">
        <v>255</v>
      </c>
      <c r="C106" s="49"/>
      <c r="D106" s="49"/>
      <c r="E106" s="49"/>
      <c r="F106" s="90"/>
      <c r="G106" s="49"/>
      <c r="H106" s="49"/>
      <c r="I106" s="49"/>
      <c r="J106" s="49"/>
      <c r="K106" s="49"/>
      <c r="L106" s="49"/>
    </row>
    <row r="107" spans="1:12" ht="12.75" customHeight="1">
      <c r="A107" s="49"/>
      <c r="B107" s="48" t="s">
        <v>256</v>
      </c>
      <c r="C107" s="49"/>
      <c r="D107" s="49"/>
      <c r="E107" s="49"/>
      <c r="F107" s="90"/>
      <c r="G107" s="49"/>
      <c r="H107" s="49"/>
      <c r="I107" s="49"/>
      <c r="J107" s="49"/>
      <c r="K107" s="49"/>
      <c r="L107" s="49"/>
    </row>
    <row r="108" spans="1:12" ht="12.75" customHeight="1">
      <c r="A108" s="49"/>
      <c r="B108" s="48"/>
      <c r="C108" s="49"/>
      <c r="D108" s="49"/>
      <c r="E108" s="49"/>
      <c r="F108" s="90"/>
      <c r="G108" s="49"/>
      <c r="H108" s="49"/>
      <c r="I108" s="49"/>
      <c r="J108" s="49"/>
      <c r="K108" s="49"/>
      <c r="L108" s="49"/>
    </row>
    <row r="109" spans="1:12" ht="12.75" customHeight="1">
      <c r="A109" s="49"/>
      <c r="B109" s="48" t="s">
        <v>167</v>
      </c>
      <c r="C109" s="49"/>
      <c r="D109" s="49"/>
      <c r="E109" s="49"/>
      <c r="F109" s="90"/>
      <c r="G109" s="49"/>
      <c r="H109" s="49"/>
      <c r="I109" s="49"/>
      <c r="J109" s="49"/>
      <c r="K109" s="49"/>
      <c r="L109" s="49"/>
    </row>
    <row r="110" spans="1:12" ht="12.75" customHeight="1">
      <c r="A110" s="49"/>
      <c r="B110" s="48" t="str">
        <f>CONCATENATE("taxes and then buy the annuity, check the box in row ",ROW('Inputs and Results'!B11),".  This kind of transaction might only make")</f>
        <v>taxes and then buy the annuity, check the box in row 11.  This kind of transaction might only make</v>
      </c>
      <c r="C110" s="49"/>
      <c r="D110" s="49"/>
      <c r="E110" s="49"/>
      <c r="F110" s="90"/>
      <c r="G110" s="49"/>
      <c r="H110" s="49"/>
      <c r="I110" s="49"/>
      <c r="J110" s="49"/>
      <c r="K110" s="49"/>
      <c r="L110" s="49"/>
    </row>
    <row r="111" spans="1:12" ht="12.75" customHeight="1">
      <c r="A111" s="49"/>
      <c r="B111" s="48" t="s">
        <v>168</v>
      </c>
      <c r="C111" s="49"/>
      <c r="D111" s="49"/>
      <c r="E111" s="49"/>
      <c r="F111" s="90"/>
      <c r="G111" s="49"/>
      <c r="H111" s="49"/>
      <c r="I111" s="49"/>
      <c r="J111" s="49"/>
      <c r="K111" s="49"/>
      <c r="L111" s="49"/>
    </row>
    <row r="112" spans="1:12" ht="12.75" customHeight="1">
      <c r="A112" s="49"/>
      <c r="B112" s="48" t="s">
        <v>250</v>
      </c>
      <c r="C112" s="49"/>
      <c r="D112" s="49"/>
      <c r="E112" s="49"/>
      <c r="F112" s="90"/>
      <c r="G112" s="49"/>
      <c r="H112" s="49"/>
      <c r="I112" s="49"/>
      <c r="J112" s="49"/>
      <c r="K112" s="49"/>
      <c r="L112" s="49"/>
    </row>
    <row r="113" spans="1:12" ht="12.75" customHeight="1">
      <c r="A113" s="49"/>
      <c r="B113" s="48" t="str">
        <f>CONCATENATE("get after liquidating the deferred-tax savings in row ",ROW('Inputs and Results'!B16),", but the No Annuity line will not represent the")</f>
        <v>get after liquidating the deferred-tax savings in row 16, but the No Annuity line will not represent the</v>
      </c>
      <c r="C113" s="49"/>
      <c r="D113" s="49"/>
      <c r="E113" s="49"/>
      <c r="F113" s="90"/>
      <c r="G113" s="49"/>
      <c r="H113" s="49"/>
      <c r="I113" s="49"/>
      <c r="J113" s="49"/>
      <c r="K113" s="49"/>
      <c r="L113" s="49"/>
    </row>
    <row r="114" spans="1:12" ht="12.75" customHeight="1">
      <c r="A114" s="49"/>
      <c r="B114" s="48" t="s">
        <v>251</v>
      </c>
      <c r="C114" s="49"/>
      <c r="D114" s="49"/>
      <c r="E114" s="49"/>
      <c r="F114" s="90"/>
      <c r="G114" s="49"/>
      <c r="H114" s="49"/>
      <c r="I114" s="49"/>
      <c r="J114" s="49"/>
      <c r="K114" s="49"/>
      <c r="L114" s="49"/>
    </row>
    <row r="115" spans="1:12" ht="12.75" customHeight="1">
      <c r="A115" s="49"/>
      <c r="B115" s="48"/>
      <c r="C115" s="49"/>
      <c r="D115" s="49"/>
      <c r="E115" s="49"/>
      <c r="F115" s="90"/>
      <c r="G115" s="49"/>
      <c r="H115" s="49"/>
      <c r="I115" s="49"/>
      <c r="J115" s="49"/>
      <c r="K115" s="49"/>
      <c r="L115" s="49"/>
    </row>
    <row r="116" spans="1:12" ht="12.75" customHeight="1">
      <c r="A116" s="49"/>
      <c r="B116" s="116" t="s">
        <v>201</v>
      </c>
      <c r="C116" s="49"/>
      <c r="D116" s="49"/>
      <c r="E116" s="49"/>
      <c r="F116" s="90"/>
      <c r="G116" s="49"/>
      <c r="H116" s="49"/>
      <c r="I116" s="49"/>
      <c r="J116" s="49"/>
      <c r="K116" s="49"/>
      <c r="L116" s="49"/>
    </row>
    <row r="117" spans="1:12" ht="12.75" customHeight="1">
      <c r="A117" s="49"/>
      <c r="B117" s="48" t="str">
        <f>CONCATENATE("Enter the amount that you want to invest in the immediate annuity in row ",ROW('Inputs and Results'!B16),".  This should not be the")</f>
        <v>Enter the amount that you want to invest in the immediate annuity in row 16.  This should not be the</v>
      </c>
      <c r="C117" s="49"/>
      <c r="D117" s="49"/>
      <c r="E117" s="49"/>
      <c r="F117" s="90"/>
      <c r="G117" s="49"/>
      <c r="H117" s="49"/>
      <c r="I117" s="49"/>
      <c r="J117" s="49"/>
      <c r="K117" s="49"/>
      <c r="L117" s="49"/>
    </row>
    <row r="118" spans="1:12" ht="12.75" customHeight="1">
      <c r="A118" s="49"/>
      <c r="B118" s="48" t="s">
        <v>247</v>
      </c>
      <c r="C118" s="49"/>
      <c r="D118" s="49"/>
      <c r="E118" s="49"/>
      <c r="F118" s="90"/>
      <c r="G118" s="49"/>
      <c r="H118" s="49"/>
      <c r="I118" s="49"/>
      <c r="J118" s="49"/>
      <c r="K118" s="49"/>
      <c r="L118" s="49"/>
    </row>
    <row r="119" spans="1:12" ht="12.75" customHeight="1">
      <c r="A119" s="49"/>
      <c r="B119" s="48"/>
      <c r="C119" s="49"/>
      <c r="D119" s="49"/>
      <c r="E119" s="49"/>
      <c r="F119" s="90"/>
      <c r="G119" s="49"/>
      <c r="H119" s="49"/>
      <c r="I119" s="49"/>
      <c r="J119" s="49"/>
      <c r="K119" s="49"/>
      <c r="L119" s="49"/>
    </row>
    <row r="120" spans="1:12" ht="12.75">
      <c r="A120" s="49"/>
      <c r="B120" s="48" t="s">
        <v>234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2.75">
      <c r="A121" s="49"/>
      <c r="B121" s="48" t="s">
        <v>233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2.75">
      <c r="A122" s="49"/>
      <c r="B122" s="48" t="str">
        <f>CONCATENATE("penalty, enter the penalty in row ",ROW('Inputs and Results'!B17),".  If you are withdrawing money from a mutual fund that will incur a")</f>
        <v>penalty, enter the penalty in row 17.  If you are withdrawing money from a mutual fund that will incur a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.75">
      <c r="A123" s="49"/>
      <c r="B123" s="48" t="s">
        <v>257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2.75">
      <c r="A124" s="49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2.75">
      <c r="A125" s="49"/>
      <c r="B125" s="116" t="s">
        <v>202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2.75">
      <c r="A126" s="49"/>
      <c r="B126" s="48" t="s">
        <v>203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.75">
      <c r="A127" s="49"/>
      <c r="B127" s="48" t="s">
        <v>204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49"/>
      <c r="B128" s="48" t="s">
        <v>205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>
      <c r="A129" s="4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2.75">
      <c r="A130" s="49"/>
      <c r="B130" s="48" t="str">
        <f>CONCATENATE("You can evaluate survivor options as well. (Row ",ROW('Inputs and Results'!B26),")  We suggest that married people first try 50% to  67%")</f>
        <v>You can evaluate survivor options as well. (Row 26)  We suggest that married people first try 50% to  67%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49"/>
      <c r="B131" s="48" t="s">
        <v>137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2.75">
      <c r="A132" s="49"/>
      <c r="B132" s="48" t="s">
        <v>173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2.75">
      <c r="A133" s="49"/>
      <c r="B133" s="48" t="s">
        <v>174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2.75">
      <c r="A134" s="49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2.75">
      <c r="A135" s="49"/>
      <c r="B135" s="116" t="s">
        <v>206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49"/>
      <c r="B136" s="48" t="s">
        <v>136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49"/>
      <c r="B137" s="48" t="str">
        <f>CONCATENATE("rows ",ROW('Inputs and Results'!C34)," through ",ROW('Inputs and Results'!D38)," on the Inputs and Results tab.")</f>
        <v>rows 34 through 38 on the Inputs and Results tab.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49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2.75">
      <c r="A139" s="49"/>
      <c r="B139" s="48"/>
      <c r="C139" s="48" t="s">
        <v>51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2.75">
      <c r="A140" s="49"/>
      <c r="B140" s="48"/>
      <c r="C140" s="48" t="s">
        <v>52</v>
      </c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2.75">
      <c r="A141" s="49"/>
      <c r="B141" s="48"/>
      <c r="C141" s="48" t="s">
        <v>53</v>
      </c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.75">
      <c r="A142" s="49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2.75">
      <c r="A143" s="49"/>
      <c r="B143" s="48" t="s">
        <v>62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.75">
      <c r="A144" s="49"/>
      <c r="B144" s="48" t="s">
        <v>58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2.75">
      <c r="A145" s="49"/>
      <c r="B145" s="48" t="s">
        <v>59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2.75">
      <c r="A146" s="49"/>
      <c r="B146" s="48" t="s">
        <v>60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2.75">
      <c r="A147" s="49"/>
      <c r="B147" s="48" t="s">
        <v>138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2.75">
      <c r="A148" s="49"/>
      <c r="B148" s="48" t="s">
        <v>0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2.75">
      <c r="A149" s="49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2.75">
      <c r="A150" s="49"/>
      <c r="B150" s="48" t="s">
        <v>134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2.75">
      <c r="A151" s="49"/>
      <c r="B151" s="48" t="s">
        <v>187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.75">
      <c r="A152" s="49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2.75">
      <c r="A153" s="49"/>
      <c r="B153" s="116" t="s">
        <v>207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.75">
      <c r="A154" s="49"/>
      <c r="B154" s="48" t="s">
        <v>208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.75">
      <c r="A155" s="49"/>
      <c r="B155" s="48" t="s">
        <v>209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2.75">
      <c r="A157" s="49"/>
      <c r="B157" s="48" t="str">
        <f>CONCATENATE("All annuity payments are taxed at ordinary income tax rates (row ",ROW('Inputs and Results'!$A$50),") as are withdrawals from deferred-tax")</f>
        <v>All annuity payments are taxed at ordinary income tax rates (row 50) as are withdrawals from deferred-tax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2.75">
      <c r="A158" s="49"/>
      <c r="B158" s="48" t="s">
        <v>153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2.75">
      <c r="A159" s="49"/>
      <c r="B159" s="48" t="str">
        <f>CONCATENATE("non-deferred-tax investments are taxed at a rate for dividends and capital gains which you enter in row ",ROW('Inputs and Results'!$A$51),".")</f>
        <v>non-deferred-tax investments are taxed at a rate for dividends and capital gains which you enter in row 51.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2.75">
      <c r="A160" s="49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>
      <c r="A161" s="49"/>
      <c r="B161" s="48" t="s">
        <v>175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2.75">
      <c r="A162" s="49"/>
      <c r="B162" s="48" t="s">
        <v>186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2.75">
      <c r="A163" s="49"/>
      <c r="B163" s="48" t="s">
        <v>176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2.75">
      <c r="A164" s="49"/>
      <c r="B164" s="48" t="s">
        <v>177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49"/>
      <c r="B165" s="48" t="s">
        <v>178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2.75">
      <c r="A166" s="49"/>
      <c r="B166" s="48" t="s">
        <v>179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2.75">
      <c r="A168" s="49"/>
      <c r="B168" s="48" t="s">
        <v>180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2.75">
      <c r="A169" s="49"/>
      <c r="B169" s="48" t="s">
        <v>181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2.75">
      <c r="A170" s="49"/>
      <c r="B170" s="48" t="str">
        <f>CONCATENATE("row ",ROW('Inputs and Results'!A51),".  The program computes after-tax returns for non-deferred-tax accounts.  This is an automatic")</f>
        <v>row 51.  The program computes after-tax returns for non-deferred-tax accounts.  This is an automatic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2.75">
      <c r="A171" s="49"/>
      <c r="B171" s="48" t="str">
        <f>CONCATENATE("calculation using the tax inputs in row ",ROW('Inputs and Results'!A51),".")</f>
        <v>calculation using the tax inputs in row 51.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2.75">
      <c r="A172" s="49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.75">
      <c r="A173" s="49"/>
      <c r="B173" s="48" t="s">
        <v>139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>
      <c r="A174" s="49"/>
      <c r="B174" s="48" t="str">
        <f>CONCATENATE("in rows ",ROW('Inputs and Results'!A46)," through ",ROW('Inputs and Results'!A51)," where there are entries for inflation, returns and taxes in two periods.  You might")</f>
        <v>in rows 46 through 51 where there are entries for inflation, returns and taxes in two periods.  You might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.75">
      <c r="A175" s="49"/>
      <c r="B175" s="48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2.75">
      <c r="A176" s="49"/>
      <c r="B176" s="48" t="str">
        <f>CONCATENATE("in the second period.  You can change the year to start the second period with the control in row ",ROW('Inputs and Results'!A57),".")</f>
        <v>in the second period.  You can change the year to start the second period with the control in row 57.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2.75">
      <c r="A177" s="49"/>
      <c r="B177" s="48" t="s">
        <v>133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2.75">
      <c r="A178" s="49"/>
      <c r="B178" s="48" t="s">
        <v>61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2.75">
      <c r="A179" s="49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>
      <c r="A180" s="49"/>
      <c r="B180" s="48"/>
      <c r="C180" s="49"/>
      <c r="D180" s="49"/>
      <c r="E180" s="115"/>
      <c r="F180" s="119" t="s">
        <v>140</v>
      </c>
      <c r="G180" s="115"/>
      <c r="H180" s="49"/>
      <c r="I180" s="49"/>
      <c r="J180" s="49"/>
      <c r="K180" s="49"/>
      <c r="L180" s="49"/>
    </row>
    <row r="181" spans="1:12" ht="12.75">
      <c r="A181" s="49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2.75">
      <c r="A182" s="49"/>
      <c r="B182" s="116" t="s">
        <v>218</v>
      </c>
      <c r="C182" s="120"/>
      <c r="D182" s="120"/>
      <c r="E182" s="120"/>
      <c r="F182" s="120"/>
      <c r="G182" s="120"/>
      <c r="H182" s="49"/>
      <c r="I182" s="49"/>
      <c r="J182" s="49"/>
      <c r="K182" s="49"/>
      <c r="L182" s="49"/>
    </row>
    <row r="183" spans="1:12" ht="12.75">
      <c r="A183" s="49"/>
      <c r="B183" s="48" t="s">
        <v>124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2.75">
      <c r="A184" s="49"/>
      <c r="B184" s="48" t="s">
        <v>182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2.75">
      <c r="A185" s="49"/>
      <c r="B185" s="48" t="s">
        <v>183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2.75">
      <c r="A186" s="49"/>
      <c r="B186" s="48" t="s">
        <v>248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2.75">
      <c r="A187" s="49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2.75">
      <c r="A188" s="49"/>
      <c r="B188" s="48" t="s">
        <v>283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2.75">
      <c r="A189" s="49"/>
      <c r="B189" s="48" t="str">
        <f>CONCATENATE("Use the slider or arrow keys to increase or decrease spending in row ",ROW('Inputs and Results'!A62)," until you can clearly see")</f>
        <v>Use the slider or arrow keys to increase or decrease spending in row 62 until you can clearly see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2.75">
      <c r="A190" s="49"/>
      <c r="B190" s="48" t="s">
        <v>284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2.75">
      <c r="A191" s="49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49"/>
      <c r="B192" s="48" t="s">
        <v>86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2.75">
      <c r="A193" s="49"/>
      <c r="B193" s="48" t="s">
        <v>87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2.75">
      <c r="A194" s="49"/>
      <c r="B194" s="48" t="s">
        <v>232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2.75">
      <c r="A195" s="49"/>
      <c r="B195" s="48" t="s">
        <v>125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2.75">
      <c r="A196" s="49"/>
      <c r="B196" s="48" t="s">
        <v>221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2.75">
      <c r="A197" s="49"/>
      <c r="B197" s="48" t="s">
        <v>285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2.75">
      <c r="A198" s="49"/>
      <c r="B198" s="48" t="s">
        <v>222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2.75">
      <c r="A199" s="49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2.75">
      <c r="A200" s="49"/>
      <c r="B200" s="48" t="s">
        <v>223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2.75">
      <c r="A201" s="49"/>
      <c r="B201" s="48" t="s">
        <v>224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2.75">
      <c r="A202" s="49"/>
      <c r="B202" s="48" t="s">
        <v>225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2.75">
      <c r="A203" s="49"/>
      <c r="B203" s="48" t="s">
        <v>226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2.75">
      <c r="A204" s="49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2.75">
      <c r="A205" s="49"/>
      <c r="B205" s="116" t="s">
        <v>227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49"/>
    </row>
    <row r="206" spans="1:12" ht="12.75">
      <c r="A206" s="49"/>
      <c r="B206" s="116" t="str">
        <f>CONCATENATE("in row ",ROW('Inputs and Results'!A63),") that exhausts the No Annuity investments at a very high age, say 90 to 100.  Then the best")</f>
        <v>in row 63) that exhausts the No Annuity investments at a very high age, say 90 to 100.  Then the best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49"/>
    </row>
    <row r="207" spans="1:12" ht="12.75">
      <c r="A207" s="49"/>
      <c r="B207" s="116" t="s">
        <v>286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49"/>
    </row>
    <row r="208" spans="1:12" ht="12.75">
      <c r="A208" s="49"/>
      <c r="B208" s="116" t="s">
        <v>287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49"/>
    </row>
    <row r="209" spans="1:12" ht="12.75">
      <c r="A209" s="49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2.75">
      <c r="A210" s="49"/>
      <c r="B210" s="116" t="s">
        <v>88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49"/>
    </row>
    <row r="211" spans="1:12" ht="12.75">
      <c r="A211" s="49"/>
      <c r="B211" s="116" t="s">
        <v>95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49"/>
    </row>
    <row r="212" spans="1:12" ht="12.75">
      <c r="A212" s="49"/>
      <c r="B212" s="116" t="s">
        <v>89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49"/>
    </row>
    <row r="213" spans="1:12" ht="12.75">
      <c r="A213" s="49"/>
      <c r="B213" s="116" t="s">
        <v>235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49"/>
    </row>
    <row r="214" spans="1:12" ht="12.75">
      <c r="A214" s="49"/>
      <c r="B214" s="116" t="s">
        <v>236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49"/>
    </row>
    <row r="215" spans="1:12" ht="12.75">
      <c r="A215" s="49"/>
      <c r="B215" s="116" t="s">
        <v>237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49"/>
    </row>
    <row r="216" spans="1:12" ht="12.75">
      <c r="A216" s="49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2.75">
      <c r="A217" s="49"/>
      <c r="B217" s="11" t="s">
        <v>50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>
      <c r="A219" s="49"/>
      <c r="B219" s="49"/>
      <c r="C219" s="49"/>
      <c r="D219" s="49"/>
      <c r="E219" s="115"/>
      <c r="F219" s="121" t="s">
        <v>31</v>
      </c>
      <c r="G219" s="115"/>
      <c r="H219" s="49"/>
      <c r="I219" s="49"/>
      <c r="J219" s="49"/>
      <c r="K219" s="49"/>
      <c r="L219" s="49"/>
    </row>
    <row r="220" spans="1: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2.75">
      <c r="A221" s="49"/>
      <c r="B221" s="11" t="s">
        <v>32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2.75">
      <c r="A222" s="49"/>
      <c r="B222" s="11" t="s">
        <v>33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2.75">
      <c r="A223" s="49"/>
      <c r="B223" s="11" t="s">
        <v>34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2.75">
      <c r="A224" s="49"/>
      <c r="B224" s="11" t="s">
        <v>35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2.75">
      <c r="A225" s="49"/>
      <c r="B225" s="11" t="s">
        <v>36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2.75">
      <c r="A226" s="49"/>
      <c r="B226" s="11" t="s">
        <v>37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2.75">
      <c r="A227" s="49"/>
      <c r="B227" s="11" t="s">
        <v>38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2.75">
      <c r="A228" s="49"/>
      <c r="B228" s="11" t="s">
        <v>39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2.75">
      <c r="A229" s="49"/>
      <c r="B229" s="11" t="s">
        <v>40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2.75">
      <c r="A230" s="49"/>
      <c r="B230" s="11" t="s">
        <v>41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2.75">
      <c r="A231" s="49"/>
      <c r="B231" s="11" t="s">
        <v>42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2.75">
      <c r="A232" s="49"/>
      <c r="B232" s="11" t="s">
        <v>43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2.75">
      <c r="A233" s="49"/>
      <c r="B233" s="11" t="s">
        <v>44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2.75">
      <c r="A234" s="49"/>
      <c r="B234" s="11" t="s">
        <v>45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2.75">
      <c r="A235" s="49"/>
      <c r="B235" s="11" t="s">
        <v>46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2.75">
      <c r="A236" s="49"/>
      <c r="B236" s="11" t="s">
        <v>47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2.75">
      <c r="A237" s="49"/>
      <c r="B237" s="11" t="s">
        <v>48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2.75">
      <c r="A238" s="49"/>
      <c r="B238" s="11" t="s">
        <v>49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2.75">
      <c r="A240" s="49"/>
      <c r="B240" s="49"/>
      <c r="C240" s="49"/>
      <c r="D240" s="49"/>
      <c r="E240" s="49"/>
      <c r="F240" s="91" t="s">
        <v>85</v>
      </c>
      <c r="G240" s="49"/>
      <c r="H240" s="49"/>
      <c r="I240" s="49"/>
      <c r="J240" s="49"/>
      <c r="K240" s="49"/>
      <c r="L240" s="49"/>
    </row>
    <row r="241" spans="1: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</sheetData>
  <sheetProtection password="EA69" sheet="1" objects="1" scenarios="1"/>
  <printOptions/>
  <pageMargins left="0.71" right="0.84" top="0.55" bottom="0.49" header="0.4" footer="0.3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0.140625" style="0" customWidth="1"/>
    <col min="7" max="7" width="6.28125" style="0" customWidth="1"/>
    <col min="12" max="12" width="9.7109375" style="0" customWidth="1"/>
    <col min="13" max="13" width="13.28125" style="0" customWidth="1"/>
    <col min="16" max="16" width="9.7109375" style="0" bestFit="1" customWidth="1"/>
  </cols>
  <sheetData>
    <row r="1" ht="12.75">
      <c r="C1" s="3"/>
    </row>
    <row r="2" spans="3:13" ht="18">
      <c r="C2" s="108"/>
      <c r="D2" s="8"/>
      <c r="E2" s="92"/>
      <c r="F2" s="93"/>
      <c r="G2" s="109" t="s">
        <v>188</v>
      </c>
      <c r="H2" s="8"/>
      <c r="I2" s="8"/>
      <c r="J2" s="8"/>
      <c r="K2" s="8"/>
      <c r="L2" s="8"/>
      <c r="M2" s="8"/>
    </row>
    <row r="3" spans="3:13" ht="12.75">
      <c r="C3" s="108"/>
      <c r="D3" s="8"/>
      <c r="E3" s="92"/>
      <c r="F3" s="93"/>
      <c r="G3" s="101" t="s">
        <v>85</v>
      </c>
      <c r="H3" s="8"/>
      <c r="I3" s="8"/>
      <c r="J3" s="8"/>
      <c r="K3" s="8"/>
      <c r="L3" s="8"/>
      <c r="M3" s="8"/>
    </row>
    <row r="4" spans="3:13" ht="12.75">
      <c r="C4" s="108"/>
      <c r="D4" s="8"/>
      <c r="E4" s="92"/>
      <c r="F4" s="93"/>
      <c r="G4" s="8"/>
      <c r="H4" s="8"/>
      <c r="I4" s="8"/>
      <c r="J4" s="8"/>
      <c r="K4" s="8"/>
      <c r="L4" s="8"/>
      <c r="M4" s="8"/>
    </row>
    <row r="5" spans="1:13" ht="12.75">
      <c r="A5" s="5" t="s">
        <v>258</v>
      </c>
      <c r="C5" s="108"/>
      <c r="D5" s="8"/>
      <c r="E5" s="92"/>
      <c r="F5" s="93"/>
      <c r="G5" s="8"/>
      <c r="H5" s="8"/>
      <c r="I5" s="8"/>
      <c r="J5" s="8"/>
      <c r="K5" s="8"/>
      <c r="L5" s="8"/>
      <c r="M5" s="8"/>
    </row>
    <row r="6" spans="3:13" ht="12.75">
      <c r="C6" s="108"/>
      <c r="D6" s="8"/>
      <c r="E6" s="92"/>
      <c r="F6" s="93"/>
      <c r="G6" s="8"/>
      <c r="H6" s="8"/>
      <c r="I6" s="8"/>
      <c r="J6" s="8"/>
      <c r="K6" s="8"/>
      <c r="L6" s="8"/>
      <c r="M6" s="8"/>
    </row>
    <row r="7" spans="2:13" ht="12.75">
      <c r="B7" s="94"/>
      <c r="C7" s="93" t="s">
        <v>259</v>
      </c>
      <c r="D7" s="8"/>
      <c r="E7" s="92"/>
      <c r="F7" s="93"/>
      <c r="G7" s="8"/>
      <c r="H7" s="8"/>
      <c r="I7" s="8"/>
      <c r="J7" s="8"/>
      <c r="K7" s="8"/>
      <c r="L7" s="8"/>
      <c r="M7" s="8"/>
    </row>
    <row r="8" spans="3:13" ht="12.75">
      <c r="C8" s="127" t="s">
        <v>260</v>
      </c>
      <c r="D8" s="8"/>
      <c r="E8" s="92"/>
      <c r="F8" s="93"/>
      <c r="G8" s="8"/>
      <c r="H8" s="8"/>
      <c r="I8" s="8"/>
      <c r="J8" s="8"/>
      <c r="K8" s="8"/>
      <c r="L8" s="8"/>
      <c r="M8" s="8"/>
    </row>
    <row r="9" spans="3:13" ht="12.75">
      <c r="C9" s="127" t="s">
        <v>261</v>
      </c>
      <c r="D9" s="8"/>
      <c r="E9" s="92"/>
      <c r="F9" s="93"/>
      <c r="G9" s="8"/>
      <c r="H9" s="8"/>
      <c r="I9" s="8"/>
      <c r="J9" s="8"/>
      <c r="K9" s="8"/>
      <c r="L9" s="8"/>
      <c r="M9" s="8"/>
    </row>
    <row r="10" spans="3:13" ht="12.75">
      <c r="C10" s="127"/>
      <c r="D10" s="8"/>
      <c r="E10" s="92"/>
      <c r="F10" s="93"/>
      <c r="G10" s="8"/>
      <c r="H10" s="8"/>
      <c r="I10" s="8"/>
      <c r="J10" s="8"/>
      <c r="K10" s="8"/>
      <c r="L10" s="8"/>
      <c r="M10" s="8"/>
    </row>
    <row r="11" spans="2:13" ht="12.75">
      <c r="B11" s="94"/>
      <c r="C11" s="127" t="s">
        <v>253</v>
      </c>
      <c r="D11" s="8"/>
      <c r="E11" s="92"/>
      <c r="F11" s="93"/>
      <c r="G11" s="8"/>
      <c r="H11" s="8"/>
      <c r="I11" s="8"/>
      <c r="J11" s="8"/>
      <c r="K11" s="8"/>
      <c r="L11" s="8"/>
      <c r="M11" s="8"/>
    </row>
    <row r="12" spans="3:13" ht="12.75">
      <c r="C12" s="127" t="str">
        <f>CONCATENATE("remaining money in a non-qualified annuity.  If you check the box in row ",ROW(B11),", do not put a check box in row ",ROW(B7),".")</f>
        <v>remaining money in a non-qualified annuity.  If you check the box in row 11, do not put a check box in row 7.</v>
      </c>
      <c r="D12" s="8"/>
      <c r="E12" s="92"/>
      <c r="F12" s="93"/>
      <c r="G12" s="8"/>
      <c r="H12" s="8"/>
      <c r="I12" s="8"/>
      <c r="J12" s="8"/>
      <c r="K12" s="8"/>
      <c r="L12" s="8"/>
      <c r="M12" s="8"/>
    </row>
    <row r="13" spans="3:13" ht="12.75">
      <c r="C13" s="127"/>
      <c r="D13" s="8"/>
      <c r="E13" s="92"/>
      <c r="F13" s="93"/>
      <c r="G13" s="8"/>
      <c r="H13" s="8"/>
      <c r="I13" s="8"/>
      <c r="J13" s="8"/>
      <c r="K13" s="8"/>
      <c r="L13" s="8"/>
      <c r="M13" s="8"/>
    </row>
    <row r="14" spans="1:13" ht="12.75">
      <c r="A14" s="5" t="s">
        <v>192</v>
      </c>
      <c r="C14" s="108"/>
      <c r="D14" s="8"/>
      <c r="E14" s="92"/>
      <c r="F14" s="93"/>
      <c r="G14" s="8"/>
      <c r="H14" s="8"/>
      <c r="I14" s="112" t="s">
        <v>81</v>
      </c>
      <c r="J14" s="113"/>
      <c r="K14" s="111"/>
      <c r="L14" s="111"/>
      <c r="M14" s="111"/>
    </row>
    <row r="15" spans="3:13" ht="12.75">
      <c r="C15" s="8"/>
      <c r="D15" s="8"/>
      <c r="E15" s="92"/>
      <c r="F15" s="93"/>
      <c r="G15" s="8"/>
      <c r="H15" s="8"/>
      <c r="I15" s="8"/>
      <c r="J15" s="8"/>
      <c r="K15" s="8"/>
      <c r="L15" s="8"/>
      <c r="M15" s="8"/>
    </row>
    <row r="16" spans="2:13" ht="12.75">
      <c r="B16" s="95">
        <v>100000</v>
      </c>
      <c r="C16" s="93" t="s">
        <v>242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95">
        <v>0</v>
      </c>
      <c r="C17" s="93" t="str">
        <f>IF(I54=TRUE,"Enter penalty (if any) if source is a deferred-tax investment","Income tax if due when sell investments to buy the annuity")</f>
        <v>Income tax if due when sell investments to buy the annuity</v>
      </c>
      <c r="D17" s="8"/>
      <c r="E17" s="8"/>
      <c r="F17" s="8"/>
      <c r="G17" s="8"/>
      <c r="M17" s="8"/>
    </row>
    <row r="18" spans="2:13" ht="12.75">
      <c r="B18" s="126">
        <f>B16-B17</f>
        <v>100000</v>
      </c>
      <c r="C18" s="93" t="s">
        <v>243</v>
      </c>
      <c r="D18" s="8"/>
      <c r="E18" s="8"/>
      <c r="F18" s="8"/>
      <c r="G18" s="8"/>
      <c r="J18" s="8"/>
      <c r="K18" s="8"/>
      <c r="L18" s="8"/>
      <c r="M18" s="8"/>
    </row>
    <row r="19" spans="3:13" ht="12.75">
      <c r="C19" s="93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5" t="s">
        <v>193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t="s">
        <v>194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93" t="s">
        <v>195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0" ht="12.75">
      <c r="B25" s="15">
        <v>70</v>
      </c>
      <c r="C25" s="93" t="s">
        <v>24</v>
      </c>
      <c r="D25" s="8"/>
      <c r="E25" s="8"/>
      <c r="F25" s="8"/>
      <c r="G25" s="8"/>
      <c r="H25" s="8"/>
      <c r="I25" s="8"/>
      <c r="J25" s="8"/>
    </row>
    <row r="26" spans="2:13" ht="12.75">
      <c r="B26" s="9">
        <v>0.67</v>
      </c>
      <c r="C26" s="93" t="str">
        <f>CONCATENATE("Survivor's spending %, e.g., survivor needs only ",100*B26,"%")</f>
        <v>Survivor's spending %, e.g., survivor needs only 67%</v>
      </c>
      <c r="D26" s="8"/>
      <c r="E26" s="8"/>
      <c r="F26" s="8"/>
      <c r="G26" s="8"/>
      <c r="H26" s="8"/>
      <c r="I26" s="8"/>
      <c r="J26" s="8"/>
      <c r="K26" s="111" t="s">
        <v>212</v>
      </c>
      <c r="L26" s="111"/>
      <c r="M26" s="111"/>
    </row>
    <row r="27" spans="2:13" ht="12.75">
      <c r="B27" s="8"/>
      <c r="C27" s="93" t="s">
        <v>196</v>
      </c>
      <c r="D27" s="8"/>
      <c r="E27" s="8"/>
      <c r="F27" s="8"/>
      <c r="G27" s="8"/>
      <c r="H27" s="8"/>
      <c r="I27" s="8"/>
      <c r="J27" s="8"/>
      <c r="K27" s="111" t="s">
        <v>213</v>
      </c>
      <c r="L27" s="111"/>
      <c r="M27" s="111"/>
    </row>
    <row r="28" spans="3:13" ht="12.75">
      <c r="C28" s="93" t="s">
        <v>228</v>
      </c>
      <c r="D28" s="8"/>
      <c r="E28" s="8"/>
      <c r="F28" s="8"/>
      <c r="G28" s="8"/>
      <c r="H28" s="8"/>
      <c r="I28" s="8"/>
      <c r="J28" s="8"/>
      <c r="K28" s="111" t="s">
        <v>230</v>
      </c>
      <c r="L28" s="111"/>
      <c r="M28" s="111"/>
    </row>
    <row r="29" spans="3:13" ht="12.75">
      <c r="C29" s="34" t="s">
        <v>229</v>
      </c>
      <c r="K29" s="111" t="s">
        <v>231</v>
      </c>
      <c r="L29" s="111"/>
      <c r="M29" s="111"/>
    </row>
    <row r="31" ht="12.75">
      <c r="A31" s="5" t="s">
        <v>211</v>
      </c>
    </row>
    <row r="32" ht="12.75">
      <c r="A32" s="5"/>
    </row>
    <row r="33" spans="3:14" ht="13.5" thickBot="1">
      <c r="C33" s="2"/>
      <c r="F33" s="30" t="s">
        <v>78</v>
      </c>
      <c r="H33" s="31" t="s">
        <v>79</v>
      </c>
      <c r="J33" s="31" t="s">
        <v>29</v>
      </c>
      <c r="L33" s="31" t="s">
        <v>82</v>
      </c>
      <c r="N33" s="2"/>
    </row>
    <row r="34" spans="1:14" ht="13.5" thickBot="1">
      <c r="A34" s="5" t="s">
        <v>84</v>
      </c>
      <c r="C34" s="37" t="s">
        <v>75</v>
      </c>
      <c r="D34" s="38"/>
      <c r="E34" s="39"/>
      <c r="F34" s="40">
        <v>657.59</v>
      </c>
      <c r="G34" s="38"/>
      <c r="H34" s="45">
        <v>0.701</v>
      </c>
      <c r="I34" s="38"/>
      <c r="J34" s="41" t="s">
        <v>28</v>
      </c>
      <c r="K34" s="38"/>
      <c r="L34" s="42" t="s">
        <v>241</v>
      </c>
      <c r="M34" s="43"/>
      <c r="N34" s="2"/>
    </row>
    <row r="35" spans="1:14" ht="3.75" customHeight="1" thickBot="1">
      <c r="A35" s="5"/>
      <c r="C35" s="12"/>
      <c r="D35" s="12"/>
      <c r="E35" s="13"/>
      <c r="F35" s="32"/>
      <c r="G35" s="12"/>
      <c r="H35" s="16"/>
      <c r="I35" s="8"/>
      <c r="J35" s="12"/>
      <c r="K35" s="12"/>
      <c r="L35" s="12"/>
      <c r="M35" s="12"/>
      <c r="N35" s="2"/>
    </row>
    <row r="36" spans="1:14" ht="13.5" thickBot="1">
      <c r="A36" s="5" t="s">
        <v>147</v>
      </c>
      <c r="C36" s="37" t="s">
        <v>76</v>
      </c>
      <c r="D36" s="38"/>
      <c r="E36" s="39"/>
      <c r="F36" s="40">
        <v>492.55</v>
      </c>
      <c r="G36" s="38"/>
      <c r="H36" s="40">
        <v>461.39</v>
      </c>
      <c r="I36" s="38"/>
      <c r="J36" s="41" t="s">
        <v>3</v>
      </c>
      <c r="K36" s="38"/>
      <c r="L36" s="42" t="s">
        <v>241</v>
      </c>
      <c r="M36" s="43"/>
      <c r="N36" s="2"/>
    </row>
    <row r="37" spans="1:14" ht="4.5" customHeight="1" thickBot="1">
      <c r="A37" s="34"/>
      <c r="C37" s="8"/>
      <c r="D37" s="12"/>
      <c r="E37" s="13"/>
      <c r="F37" s="32"/>
      <c r="G37" s="12"/>
      <c r="H37" s="33"/>
      <c r="I37" s="8"/>
      <c r="J37" s="12"/>
      <c r="K37" s="12"/>
      <c r="L37" s="12"/>
      <c r="M37" s="12"/>
      <c r="N37" s="2"/>
    </row>
    <row r="38" spans="1:14" ht="13.5" thickBot="1">
      <c r="A38" s="5" t="s">
        <v>148</v>
      </c>
      <c r="C38" s="37" t="s">
        <v>77</v>
      </c>
      <c r="D38" s="38"/>
      <c r="E38" s="39"/>
      <c r="F38" s="40">
        <v>506.14</v>
      </c>
      <c r="G38" s="38"/>
      <c r="H38" s="45">
        <v>0.7</v>
      </c>
      <c r="I38" s="38"/>
      <c r="J38" s="44">
        <v>0.03</v>
      </c>
      <c r="K38" s="38"/>
      <c r="L38" s="42" t="s">
        <v>241</v>
      </c>
      <c r="M38" s="43"/>
      <c r="N38" s="2"/>
    </row>
    <row r="39" spans="2:14" ht="12.75">
      <c r="B39" s="5"/>
      <c r="E39" s="2"/>
      <c r="H39" t="s">
        <v>80</v>
      </c>
      <c r="I39" s="5"/>
      <c r="J39" s="2"/>
      <c r="M39" s="2"/>
      <c r="N39" s="2"/>
    </row>
    <row r="40" spans="2:14" ht="13.5" thickBot="1">
      <c r="B40" s="5"/>
      <c r="E40" s="2"/>
      <c r="I40" s="131"/>
      <c r="J40" s="132" t="str">
        <f>IF(I46=TRUE,"After-Tax Spending in today's dollars","After-Tax Spending in future dollars")</f>
        <v>After-Tax Spending in today's dollars</v>
      </c>
      <c r="K40" s="133"/>
      <c r="L40" s="133"/>
      <c r="M40" s="133"/>
      <c r="N40" s="133"/>
    </row>
    <row r="41" spans="1:14" ht="12.75">
      <c r="A41" s="110" t="s">
        <v>207</v>
      </c>
      <c r="B41" s="18"/>
      <c r="C41" s="18"/>
      <c r="D41" s="18"/>
      <c r="E41" s="18"/>
      <c r="F41" s="18"/>
      <c r="G41" s="19"/>
      <c r="I41" s="2"/>
      <c r="J41" s="2"/>
      <c r="M41" s="2"/>
      <c r="N41" s="2"/>
    </row>
    <row r="42" spans="1:14" ht="15">
      <c r="A42" s="102"/>
      <c r="B42" s="22"/>
      <c r="C42" s="35" t="s">
        <v>74</v>
      </c>
      <c r="D42" s="22"/>
      <c r="E42" s="22"/>
      <c r="F42" s="22"/>
      <c r="G42" s="23"/>
      <c r="I42" s="2"/>
      <c r="J42" s="2"/>
      <c r="M42" s="2"/>
      <c r="N42" s="2"/>
    </row>
    <row r="43" spans="1:14" ht="12.75">
      <c r="A43" s="130"/>
      <c r="B43" s="25" t="s">
        <v>273</v>
      </c>
      <c r="C43" s="22"/>
      <c r="D43" s="22"/>
      <c r="E43" s="24"/>
      <c r="F43" s="24"/>
      <c r="G43" s="23"/>
      <c r="I43" s="2"/>
      <c r="J43" s="2"/>
      <c r="M43" s="2"/>
      <c r="N43" s="2"/>
    </row>
    <row r="44" spans="1:14" ht="12.75">
      <c r="A44" s="102" t="str">
        <f>CONCATENATE("Use slider in row ",ROW(A57)," to control when Thereafter begins.")</f>
        <v>Use slider in row 57 to control when Thereafter begins.</v>
      </c>
      <c r="B44" s="22"/>
      <c r="C44" s="22"/>
      <c r="D44" s="22"/>
      <c r="E44" s="24"/>
      <c r="F44" s="24"/>
      <c r="G44" s="23"/>
      <c r="M44" s="2"/>
      <c r="N44" s="2"/>
    </row>
    <row r="45" spans="1:14" ht="12.75">
      <c r="A45" s="103" t="s">
        <v>54</v>
      </c>
      <c r="B45" s="14" t="s">
        <v>55</v>
      </c>
      <c r="C45" s="22"/>
      <c r="D45" s="22"/>
      <c r="E45" s="24"/>
      <c r="F45" s="24"/>
      <c r="G45" s="23"/>
      <c r="I45" t="s">
        <v>73</v>
      </c>
      <c r="M45" s="2"/>
      <c r="N45" s="2"/>
    </row>
    <row r="46" spans="1:14" ht="12.75">
      <c r="A46" s="104">
        <v>0.03</v>
      </c>
      <c r="B46" s="128">
        <f>I47/500</f>
        <v>0.05</v>
      </c>
      <c r="D46" s="22"/>
      <c r="E46" s="25" t="s">
        <v>272</v>
      </c>
      <c r="F46" s="24"/>
      <c r="G46" s="23"/>
      <c r="I46" s="97" t="b">
        <v>1</v>
      </c>
      <c r="J46" t="s">
        <v>274</v>
      </c>
      <c r="M46" s="2"/>
      <c r="N46" s="2"/>
    </row>
    <row r="47" spans="1:14" ht="12.75">
      <c r="A47" s="104">
        <v>0.054</v>
      </c>
      <c r="B47" s="128">
        <f>I48/500</f>
        <v>0.04</v>
      </c>
      <c r="D47" s="22"/>
      <c r="E47" s="25" t="s">
        <v>264</v>
      </c>
      <c r="F47" s="136"/>
      <c r="G47" s="23"/>
      <c r="I47" s="27">
        <v>25</v>
      </c>
      <c r="J47" s="2" t="s">
        <v>3</v>
      </c>
      <c r="M47" s="2"/>
      <c r="N47" s="2"/>
    </row>
    <row r="48" spans="1:14" ht="12.75">
      <c r="A48" s="22" t="s">
        <v>267</v>
      </c>
      <c r="B48" s="136"/>
      <c r="C48" s="22"/>
      <c r="D48" s="22"/>
      <c r="E48" s="24"/>
      <c r="F48" s="24"/>
      <c r="G48" s="23"/>
      <c r="I48" s="27">
        <v>20</v>
      </c>
      <c r="J48" s="2" t="s">
        <v>4</v>
      </c>
      <c r="M48" s="2"/>
      <c r="N48" s="2"/>
    </row>
    <row r="49" spans="1:14" ht="12.75">
      <c r="A49" s="22" t="s">
        <v>191</v>
      </c>
      <c r="B49" s="136"/>
      <c r="C49" s="22"/>
      <c r="D49" s="22"/>
      <c r="E49" s="22"/>
      <c r="F49" s="22"/>
      <c r="G49" s="23"/>
      <c r="I49" s="27">
        <v>45</v>
      </c>
      <c r="J49" s="2" t="s">
        <v>270</v>
      </c>
      <c r="M49" s="2"/>
      <c r="N49" s="2"/>
    </row>
    <row r="50" spans="1:14" ht="12.75">
      <c r="A50" s="104">
        <v>0.35</v>
      </c>
      <c r="B50" s="129">
        <f>I49/100</f>
        <v>0.45</v>
      </c>
      <c r="D50" s="22"/>
      <c r="E50" s="25" t="s">
        <v>265</v>
      </c>
      <c r="F50" s="24"/>
      <c r="G50" s="23"/>
      <c r="I50" s="27">
        <v>35</v>
      </c>
      <c r="J50" s="13" t="s">
        <v>271</v>
      </c>
      <c r="M50" s="2"/>
      <c r="N50" s="2"/>
    </row>
    <row r="51" spans="1:14" ht="12.75">
      <c r="A51" s="104">
        <v>0.15</v>
      </c>
      <c r="B51" s="129">
        <f>I50/100</f>
        <v>0.35</v>
      </c>
      <c r="D51" s="22"/>
      <c r="E51" s="25" t="s">
        <v>266</v>
      </c>
      <c r="F51" s="24"/>
      <c r="G51" s="23"/>
      <c r="I51" s="17">
        <v>10</v>
      </c>
      <c r="J51" t="s">
        <v>70</v>
      </c>
      <c r="M51" s="2"/>
      <c r="N51" s="2"/>
    </row>
    <row r="52" spans="1:14" ht="12.75">
      <c r="A52" s="22" t="s">
        <v>268</v>
      </c>
      <c r="B52" s="22"/>
      <c r="C52" s="22"/>
      <c r="D52" s="22"/>
      <c r="E52" s="22"/>
      <c r="F52" s="22"/>
      <c r="G52" s="23"/>
      <c r="I52" s="27">
        <v>95</v>
      </c>
      <c r="J52" s="2" t="s">
        <v>71</v>
      </c>
      <c r="M52" s="2"/>
      <c r="N52" s="2"/>
    </row>
    <row r="53" spans="1:10" ht="12.75">
      <c r="A53" s="22" t="s">
        <v>269</v>
      </c>
      <c r="B53" s="22"/>
      <c r="C53" s="22"/>
      <c r="D53" s="22"/>
      <c r="E53" s="22"/>
      <c r="F53" s="22"/>
      <c r="G53" s="23"/>
      <c r="I53" s="27">
        <v>1005</v>
      </c>
      <c r="J53" s="2" t="s">
        <v>72</v>
      </c>
    </row>
    <row r="54" spans="1:10" ht="12.75">
      <c r="A54" s="136"/>
      <c r="B54" s="136"/>
      <c r="C54" s="136"/>
      <c r="D54" s="136"/>
      <c r="E54" s="22"/>
      <c r="F54" s="22"/>
      <c r="G54" s="23"/>
      <c r="I54" s="97" t="b">
        <v>0</v>
      </c>
      <c r="J54" s="13" t="s">
        <v>154</v>
      </c>
    </row>
    <row r="55" spans="1:10" ht="12.75">
      <c r="A55" s="102" t="s">
        <v>27</v>
      </c>
      <c r="B55" s="22"/>
      <c r="C55" s="26"/>
      <c r="D55" s="22"/>
      <c r="E55" s="22"/>
      <c r="F55" s="22"/>
      <c r="G55" s="23"/>
      <c r="I55" s="137">
        <f>IF(I54=TRUE,PMT((A47-A46)/(1+A46),101-B25,-B16)*(1-A50),PMT((A47*(1-A51)-A46)/(1+A46),101-B25,-B16))/50</f>
        <v>81.66694570771138</v>
      </c>
      <c r="J55" s="13" t="s">
        <v>219</v>
      </c>
    </row>
    <row r="56" spans="1:10" ht="12.75">
      <c r="A56" s="105">
        <f>I51</f>
        <v>10</v>
      </c>
      <c r="B56" s="136"/>
      <c r="C56" s="22"/>
      <c r="D56" s="138" t="s">
        <v>277</v>
      </c>
      <c r="E56" s="22"/>
      <c r="F56" s="22"/>
      <c r="G56" s="23"/>
      <c r="I56" s="97" t="b">
        <v>0</v>
      </c>
      <c r="J56" s="13" t="s">
        <v>252</v>
      </c>
    </row>
    <row r="57" spans="1:7" ht="12.75">
      <c r="A57" s="20"/>
      <c r="B57" s="22"/>
      <c r="C57" s="22"/>
      <c r="D57" s="22"/>
      <c r="E57" s="22"/>
      <c r="F57" s="22"/>
      <c r="G57" s="23"/>
    </row>
    <row r="58" spans="1:7" ht="12.75">
      <c r="A58" s="124" t="s">
        <v>238</v>
      </c>
      <c r="B58" s="22"/>
      <c r="C58" s="22"/>
      <c r="D58" s="22"/>
      <c r="E58" s="22"/>
      <c r="F58" s="22"/>
      <c r="G58" s="23"/>
    </row>
    <row r="59" spans="1:7" ht="12.75">
      <c r="A59" s="106">
        <f>I52</f>
        <v>95</v>
      </c>
      <c r="B59" s="136"/>
      <c r="C59" s="22"/>
      <c r="D59" s="25" t="s">
        <v>14</v>
      </c>
      <c r="E59" s="22"/>
      <c r="F59" s="22"/>
      <c r="G59" s="23"/>
    </row>
    <row r="60" spans="1:7" ht="12.75">
      <c r="A60" s="20"/>
      <c r="B60" s="22"/>
      <c r="C60" s="22"/>
      <c r="D60" s="22"/>
      <c r="E60" s="22"/>
      <c r="F60" s="22"/>
      <c r="G60" s="23"/>
    </row>
    <row r="61" spans="1:13" ht="12.75">
      <c r="A61" s="102" t="s">
        <v>276</v>
      </c>
      <c r="B61" s="22"/>
      <c r="C61" s="22"/>
      <c r="D61" s="22"/>
      <c r="E61" s="22"/>
      <c r="F61" s="22"/>
      <c r="G61" s="23"/>
      <c r="I61" s="8"/>
      <c r="J61" s="8"/>
      <c r="K61" s="8"/>
      <c r="L61" s="8"/>
      <c r="M61" s="8"/>
    </row>
    <row r="62" spans="1:7" ht="12.75">
      <c r="A62" s="107">
        <f>I53*5</f>
        <v>5025</v>
      </c>
      <c r="B62" s="136"/>
      <c r="C62" s="22"/>
      <c r="D62" s="25" t="s">
        <v>30</v>
      </c>
      <c r="E62" s="22"/>
      <c r="F62" s="22"/>
      <c r="G62" s="23"/>
    </row>
    <row r="63" spans="1:7" ht="12.75">
      <c r="A63" s="20"/>
      <c r="B63" s="22"/>
      <c r="C63" s="22"/>
      <c r="D63" s="22"/>
      <c r="E63" s="22"/>
      <c r="F63" s="22"/>
      <c r="G63" s="23"/>
    </row>
    <row r="64" spans="1:7" ht="13.5" thickBot="1">
      <c r="A64" s="21"/>
      <c r="B64" s="28"/>
      <c r="C64" s="28"/>
      <c r="D64" s="28"/>
      <c r="E64" s="28"/>
      <c r="F64" s="28"/>
      <c r="G64" s="29"/>
    </row>
    <row r="66" ht="12.75">
      <c r="H66" s="5"/>
    </row>
    <row r="67" ht="12.75">
      <c r="H67" s="5"/>
    </row>
    <row r="68" spans="16:20" ht="12.75">
      <c r="P68" s="134"/>
      <c r="Q68" s="134"/>
      <c r="R68" s="134"/>
      <c r="S68" s="134"/>
      <c r="T68" s="134"/>
    </row>
    <row r="69" spans="16:20" ht="12.75">
      <c r="P69" s="134"/>
      <c r="Q69" s="134"/>
      <c r="R69" s="134"/>
      <c r="S69" s="134"/>
      <c r="T69" s="134"/>
    </row>
    <row r="70" spans="16:20" ht="12.75">
      <c r="P70" s="134"/>
      <c r="Q70" s="134"/>
      <c r="R70" s="134"/>
      <c r="S70" s="134"/>
      <c r="T70" s="134"/>
    </row>
    <row r="71" spans="16:20" ht="12.75">
      <c r="P71" s="134"/>
      <c r="Q71" s="134"/>
      <c r="R71" s="134"/>
      <c r="S71" s="134"/>
      <c r="T71" s="134"/>
    </row>
    <row r="72" spans="16:20" ht="12.75">
      <c r="P72" s="93"/>
      <c r="Q72" s="134"/>
      <c r="R72" s="134"/>
      <c r="S72" s="134"/>
      <c r="T72" s="134"/>
    </row>
    <row r="73" spans="16:20" ht="12.75">
      <c r="P73" s="93"/>
      <c r="Q73" s="134"/>
      <c r="R73" s="134"/>
      <c r="S73" s="134"/>
      <c r="T73" s="134"/>
    </row>
    <row r="74" spans="16:20" ht="12.75">
      <c r="P74" s="93"/>
      <c r="Q74" s="134"/>
      <c r="R74" s="134"/>
      <c r="S74" s="134"/>
      <c r="T74" s="134"/>
    </row>
    <row r="75" spans="16:20" ht="12.75">
      <c r="P75" s="93"/>
      <c r="Q75" s="134"/>
      <c r="R75" s="134"/>
      <c r="S75" s="134"/>
      <c r="T75" s="134"/>
    </row>
    <row r="76" spans="16:20" ht="12.75">
      <c r="P76" s="93"/>
      <c r="Q76" s="134"/>
      <c r="R76" s="134"/>
      <c r="S76" s="134"/>
      <c r="T76" s="134"/>
    </row>
    <row r="77" spans="16:20" ht="12.75">
      <c r="P77" s="93"/>
      <c r="Q77" s="134"/>
      <c r="R77" s="134"/>
      <c r="S77" s="134"/>
      <c r="T77" s="134"/>
    </row>
    <row r="78" spans="16:20" ht="12.75">
      <c r="P78" s="135"/>
      <c r="Q78" s="134"/>
      <c r="R78" s="134"/>
      <c r="S78" s="134"/>
      <c r="T78" s="134"/>
    </row>
    <row r="79" spans="16:20" ht="12.75">
      <c r="P79" s="134"/>
      <c r="Q79" s="134"/>
      <c r="R79" s="134"/>
      <c r="S79" s="134"/>
      <c r="T79" s="134"/>
    </row>
    <row r="80" spans="16:20" ht="12.75">
      <c r="P80" s="134"/>
      <c r="Q80" s="134"/>
      <c r="R80" s="134"/>
      <c r="S80" s="134"/>
      <c r="T80" s="134"/>
    </row>
    <row r="88" spans="9:13" ht="12.75">
      <c r="I88" s="8"/>
      <c r="J88" s="8"/>
      <c r="K88" s="8"/>
      <c r="L88" s="8"/>
      <c r="M88" s="8"/>
    </row>
    <row r="89" spans="9:16" ht="12.75">
      <c r="I89" s="8"/>
      <c r="J89" s="8"/>
      <c r="K89" s="8"/>
      <c r="L89" s="8"/>
      <c r="M89" s="8"/>
      <c r="P89" s="46"/>
    </row>
    <row r="90" spans="8:16" ht="12.75">
      <c r="H90" s="8"/>
      <c r="I90" s="8"/>
      <c r="J90" s="8"/>
      <c r="K90" s="8"/>
      <c r="L90" s="8"/>
      <c r="M90" s="8"/>
      <c r="P90" s="46"/>
    </row>
    <row r="91" spans="9:13" ht="12.75">
      <c r="I91" s="8"/>
      <c r="J91" s="8"/>
      <c r="K91" s="8"/>
      <c r="L91" s="8"/>
      <c r="M91" s="8"/>
    </row>
    <row r="92" ht="12.75">
      <c r="I92" s="8"/>
    </row>
    <row r="93" ht="12.75">
      <c r="B93" s="5" t="s">
        <v>83</v>
      </c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2:13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2:13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2:13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2:13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2:13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13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2:13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</sheetData>
  <sheetProtection password="EA69" sheet="1" objects="1" scenarios="1"/>
  <conditionalFormatting sqref="E39:E40 N33:N39 N41:N52 J40 F50:F51 F43:F46 F48">
    <cfRule type="cellIs" priority="1" dxfId="0" operator="lessThan" stopIfTrue="1">
      <formula>0</formula>
    </cfRule>
  </conditionalFormatting>
  <dataValidations count="10">
    <dataValidation type="whole" operator="greaterThan" allowBlank="1" showInputMessage="1" showErrorMessage="1" prompt="This must be a whole number, i.e., 5, not 5.3." sqref="A56">
      <formula1>0</formula1>
    </dataValidation>
    <dataValidation type="decimal" allowBlank="1" showInputMessage="1" showErrorMessage="1" sqref="A46:B47 A50:B51">
      <formula1>-1</formula1>
      <formula2>1</formula2>
    </dataValidation>
    <dataValidation type="decimal" operator="greaterThanOrEqual" allowBlank="1" showInputMessage="1" showErrorMessage="1" sqref="F38 F34 F36">
      <formula1>0</formula1>
    </dataValidation>
    <dataValidation type="decimal" operator="lessThanOrEqual" allowBlank="1" showInputMessage="1" showErrorMessage="1" prompt="This must be a percentage." sqref="H38">
      <formula1>1</formula1>
    </dataValidation>
    <dataValidation type="decimal" operator="greaterThanOrEqual" allowBlank="1" showInputMessage="1" showErrorMessage="1" prompt="This must be a dollar amount, not a percentage." sqref="H36">
      <formula1>0</formula1>
    </dataValidation>
    <dataValidation type="decimal" operator="lessThanOrEqual" allowBlank="1" showInputMessage="1" showErrorMessage="1" prompt="This must be a percentage.&#10;" error="You must enter 100% or less" sqref="H34">
      <formula1>1</formula1>
    </dataValidation>
    <dataValidation type="decimal" allowBlank="1" showInputMessage="1" showErrorMessage="1" prompt="This must be a percenage." sqref="J38">
      <formula1>-1</formula1>
      <formula2>1</formula2>
    </dataValidation>
    <dataValidation type="whole" allowBlank="1" showInputMessage="1" showErrorMessage="1" error="Enter a whole number below 100" sqref="B25">
      <formula1>0</formula1>
      <formula2>100</formula2>
    </dataValidation>
    <dataValidation type="decimal" operator="lessThanOrEqual" allowBlank="1" showInputMessage="1" showErrorMessage="1" error="You must enter 100% or less" sqref="B26">
      <formula1>1</formula1>
    </dataValidation>
    <dataValidation type="decimal" operator="greaterThanOrEqual" allowBlank="1" showInputMessage="1" showErrorMessage="1" error="Must enter a number here" sqref="B16:B18">
      <formula1>0</formula1>
    </dataValidation>
  </dataValidations>
  <printOptions/>
  <pageMargins left="0.52" right="0.38" top="0.44" bottom="0.42" header="0.36" footer="0.34"/>
  <pageSetup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10.7109375" style="0" customWidth="1"/>
    <col min="9" max="9" width="13.140625" style="0" bestFit="1" customWidth="1"/>
    <col min="10" max="10" width="10.421875" style="0" customWidth="1"/>
    <col min="11" max="11" width="10.8515625" style="0" customWidth="1"/>
    <col min="12" max="12" width="10.140625" style="0" customWidth="1"/>
    <col min="13" max="13" width="10.57421875" style="0" customWidth="1"/>
    <col min="14" max="14" width="11.00390625" style="0" customWidth="1"/>
    <col min="15" max="15" width="10.421875" style="0" customWidth="1"/>
    <col min="16" max="16" width="11.00390625" style="0" customWidth="1"/>
    <col min="17" max="17" width="9.7109375" style="0" bestFit="1" customWidth="1"/>
    <col min="18" max="18" width="10.8515625" style="0" customWidth="1"/>
    <col min="19" max="19" width="12.00390625" style="0" customWidth="1"/>
    <col min="20" max="20" width="12.28125" style="0" customWidth="1"/>
    <col min="21" max="21" width="11.421875" style="0" customWidth="1"/>
    <col min="22" max="22" width="11.7109375" style="0" customWidth="1"/>
    <col min="23" max="23" width="11.57421875" style="0" customWidth="1"/>
    <col min="24" max="24" width="10.140625" style="0" bestFit="1" customWidth="1"/>
    <col min="25" max="25" width="10.421875" style="0" customWidth="1"/>
    <col min="26" max="26" width="10.00390625" style="0" customWidth="1"/>
    <col min="27" max="27" width="10.28125" style="0" customWidth="1"/>
    <col min="28" max="28" width="9.28125" style="0" bestFit="1" customWidth="1"/>
  </cols>
  <sheetData>
    <row r="1" spans="1:2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8" ht="12.75">
      <c r="A2" s="47"/>
      <c r="B2" s="48" t="s">
        <v>119</v>
      </c>
      <c r="C2" s="49"/>
      <c r="D2" s="49"/>
      <c r="E2" s="49"/>
      <c r="F2" s="49"/>
      <c r="G2" s="49"/>
      <c r="H2" s="14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0"/>
    </row>
    <row r="3" spans="1:28" ht="12.75">
      <c r="A3" s="47"/>
      <c r="B3" s="49" t="s">
        <v>63</v>
      </c>
      <c r="C3" s="50" t="s">
        <v>56</v>
      </c>
      <c r="D3" s="50" t="s">
        <v>57</v>
      </c>
      <c r="E3" s="49"/>
      <c r="F3" s="49"/>
      <c r="G3" s="49" t="s">
        <v>64</v>
      </c>
      <c r="H3" s="49"/>
      <c r="I3" s="49"/>
      <c r="J3" s="51">
        <f>'Inputs and Results'!B25</f>
        <v>70</v>
      </c>
      <c r="K3" s="49" t="s">
        <v>24</v>
      </c>
      <c r="L3" s="49"/>
      <c r="M3" s="49" t="s">
        <v>244</v>
      </c>
      <c r="N3" s="49"/>
      <c r="O3" s="49"/>
      <c r="P3" s="49"/>
      <c r="Q3" s="49"/>
      <c r="R3" s="54">
        <f>'Inputs and Results'!F38</f>
        <v>506.14</v>
      </c>
      <c r="S3" s="53" t="s">
        <v>19</v>
      </c>
      <c r="T3" s="53"/>
      <c r="U3" s="53"/>
      <c r="V3" s="53"/>
      <c r="W3" s="53"/>
      <c r="X3" s="55">
        <f>'Inputs and Results'!H38</f>
        <v>0.7</v>
      </c>
      <c r="Y3" s="53" t="s">
        <v>5</v>
      </c>
      <c r="Z3" s="56">
        <f>'Inputs and Results'!J38</f>
        <v>0.03</v>
      </c>
      <c r="AA3" s="49" t="s">
        <v>69</v>
      </c>
      <c r="AB3" s="10"/>
    </row>
    <row r="4" spans="1:28" ht="12.75">
      <c r="A4" s="47"/>
      <c r="B4" s="57" t="s">
        <v>3</v>
      </c>
      <c r="C4" s="58">
        <f>'Inputs and Results'!A46</f>
        <v>0.03</v>
      </c>
      <c r="D4" s="58">
        <f>'Inputs and Results'!B46</f>
        <v>0.05</v>
      </c>
      <c r="E4" s="49"/>
      <c r="F4" s="49"/>
      <c r="G4" s="53" t="s">
        <v>66</v>
      </c>
      <c r="H4" s="49"/>
      <c r="I4" s="59"/>
      <c r="J4" s="51">
        <f>'Inputs and Results'!A59</f>
        <v>95</v>
      </c>
      <c r="K4" s="49" t="s">
        <v>14</v>
      </c>
      <c r="L4" s="49"/>
      <c r="M4" s="49"/>
      <c r="N4" s="49"/>
      <c r="O4" s="49"/>
      <c r="P4" s="49"/>
      <c r="Q4" s="49"/>
      <c r="R4" s="54">
        <f>'Inputs and Results'!F36</f>
        <v>492.55</v>
      </c>
      <c r="S4" s="53" t="s">
        <v>21</v>
      </c>
      <c r="T4" s="53"/>
      <c r="U4" s="53"/>
      <c r="V4" s="53"/>
      <c r="W4" s="53"/>
      <c r="X4" s="54">
        <f>'Inputs and Results'!H36</f>
        <v>461.39</v>
      </c>
      <c r="Y4" s="53" t="s">
        <v>5</v>
      </c>
      <c r="Z4" s="53"/>
      <c r="AA4" s="49"/>
      <c r="AB4" s="10"/>
    </row>
    <row r="5" spans="1:28" ht="12.75">
      <c r="A5" s="47"/>
      <c r="B5" s="57" t="str">
        <f>IF('Inputs and Results'!$I$54=TRUE,"BT Return","AT Return")</f>
        <v>AT Return</v>
      </c>
      <c r="C5" s="58">
        <f>IF('Inputs and Results'!I54=TRUE,'Inputs and Results'!A47,'Inputs and Results'!A47*(1-'Inputs and Results'!$A51))</f>
        <v>0.045899999999999996</v>
      </c>
      <c r="D5" s="58">
        <f>IF('Inputs and Results'!I54=TRUE,'Inputs and Results'!B47,'Inputs and Results'!B47*(1-'Inputs and Results'!B51))</f>
        <v>0.026000000000000002</v>
      </c>
      <c r="E5" s="49"/>
      <c r="F5" s="49"/>
      <c r="G5" s="51">
        <f>'Inputs and Results'!A56</f>
        <v>10</v>
      </c>
      <c r="H5" s="49"/>
      <c r="I5" s="59"/>
      <c r="J5" s="60">
        <f>'Inputs and Results'!B26</f>
        <v>0.67</v>
      </c>
      <c r="K5" s="53" t="s">
        <v>15</v>
      </c>
      <c r="L5" s="49"/>
      <c r="M5" s="52">
        <f>'Inputs and Results'!B16</f>
        <v>100000</v>
      </c>
      <c r="N5" s="53" t="s">
        <v>17</v>
      </c>
      <c r="O5" s="49"/>
      <c r="P5" s="49"/>
      <c r="Q5" s="49"/>
      <c r="R5" s="54">
        <f>'Inputs and Results'!F34</f>
        <v>657.59</v>
      </c>
      <c r="S5" s="53" t="s">
        <v>20</v>
      </c>
      <c r="T5" s="53"/>
      <c r="U5" s="53"/>
      <c r="V5" s="53"/>
      <c r="W5" s="53"/>
      <c r="X5" s="55">
        <f>'Inputs and Results'!H34</f>
        <v>0.701</v>
      </c>
      <c r="Y5" s="53" t="s">
        <v>8</v>
      </c>
      <c r="Z5" s="53"/>
      <c r="AA5" s="49"/>
      <c r="AB5" s="10"/>
    </row>
    <row r="6" spans="1:28" ht="12.75">
      <c r="A6" s="47"/>
      <c r="B6" s="57" t="s">
        <v>149</v>
      </c>
      <c r="C6" s="58">
        <f>'Inputs and Results'!A50</f>
        <v>0.35</v>
      </c>
      <c r="D6" s="58">
        <f>'Inputs and Results'!B50</f>
        <v>0.45</v>
      </c>
      <c r="E6" s="49"/>
      <c r="F6" s="49"/>
      <c r="G6" s="54" t="b">
        <f>'Inputs and Results'!I46</f>
        <v>1</v>
      </c>
      <c r="H6" s="49" t="s">
        <v>274</v>
      </c>
      <c r="I6" s="62"/>
      <c r="J6" s="49"/>
      <c r="K6" s="49"/>
      <c r="L6" s="49"/>
      <c r="M6" s="52">
        <f>'Inputs and Results'!B17</f>
        <v>0</v>
      </c>
      <c r="N6" s="61" t="str">
        <f>'Inputs and Results'!C17</f>
        <v>Income tax if due when sell investments to buy the annuity</v>
      </c>
      <c r="O6" s="49"/>
      <c r="P6" s="49"/>
      <c r="Q6" s="49"/>
      <c r="R6" s="53"/>
      <c r="S6" s="53"/>
      <c r="T6" s="53"/>
      <c r="U6" s="53"/>
      <c r="V6" s="53"/>
      <c r="W6" s="53"/>
      <c r="X6" s="53"/>
      <c r="Y6" s="53"/>
      <c r="Z6" s="53"/>
      <c r="AA6" s="49"/>
      <c r="AB6" s="10"/>
    </row>
    <row r="7" spans="1:28" ht="12.75">
      <c r="A7" s="47"/>
      <c r="B7" s="57" t="s">
        <v>150</v>
      </c>
      <c r="C7" s="58">
        <f>'Inputs and Results'!A51</f>
        <v>0.15</v>
      </c>
      <c r="D7" s="58">
        <f>'Inputs and Results'!B51</f>
        <v>0.35</v>
      </c>
      <c r="E7" s="49"/>
      <c r="F7" s="49"/>
      <c r="G7" s="52">
        <f>'Inputs and Results'!A62</f>
        <v>5025</v>
      </c>
      <c r="H7" s="49" t="s">
        <v>16</v>
      </c>
      <c r="I7" s="49"/>
      <c r="J7" s="49"/>
      <c r="K7" s="49"/>
      <c r="L7" s="49"/>
      <c r="M7" s="52">
        <f>'Inputs and Results'!B18</f>
        <v>100000</v>
      </c>
      <c r="N7" s="49" t="s">
        <v>18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0"/>
    </row>
    <row r="8" spans="1:28" ht="12.75">
      <c r="A8" s="47"/>
      <c r="B8" s="49"/>
      <c r="C8" s="49"/>
      <c r="D8" s="49"/>
      <c r="E8" s="48"/>
      <c r="F8" s="48"/>
      <c r="G8" s="49"/>
      <c r="H8" s="49"/>
      <c r="I8" s="49"/>
      <c r="J8" s="49"/>
      <c r="K8" s="49"/>
      <c r="L8" s="49"/>
      <c r="M8" s="61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0"/>
    </row>
    <row r="9" spans="1:27" ht="12.75">
      <c r="A9" s="47"/>
      <c r="B9" s="47"/>
      <c r="C9" s="47"/>
      <c r="D9" s="47"/>
      <c r="E9" s="47"/>
      <c r="F9" s="47"/>
      <c r="G9" s="47"/>
      <c r="H9" s="47"/>
      <c r="I9" s="63"/>
      <c r="J9" s="6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9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64"/>
      <c r="S10" s="65"/>
      <c r="T10" s="66" t="s">
        <v>67</v>
      </c>
      <c r="U10" s="65"/>
      <c r="V10" s="65"/>
      <c r="W10" s="67"/>
      <c r="X10" s="47"/>
      <c r="Y10" s="73"/>
      <c r="Z10" s="122" t="s">
        <v>68</v>
      </c>
      <c r="AA10" s="123"/>
      <c r="AC10" s="5"/>
    </row>
    <row r="11" spans="1:35" ht="12.75">
      <c r="A11" s="68"/>
      <c r="B11" s="69"/>
      <c r="C11" s="70"/>
      <c r="D11" s="71" t="s">
        <v>63</v>
      </c>
      <c r="E11" s="71"/>
      <c r="F11" s="72"/>
      <c r="G11" s="69"/>
      <c r="H11" s="63"/>
      <c r="I11" s="68"/>
      <c r="J11" s="73"/>
      <c r="K11" s="74" t="s">
        <v>9</v>
      </c>
      <c r="L11" s="74"/>
      <c r="M11" s="75"/>
      <c r="N11" s="66"/>
      <c r="O11" s="66" t="s">
        <v>12</v>
      </c>
      <c r="P11" s="76"/>
      <c r="Q11" s="63"/>
      <c r="R11" s="75" t="s">
        <v>26</v>
      </c>
      <c r="S11" s="76"/>
      <c r="T11" s="75" t="s">
        <v>2</v>
      </c>
      <c r="U11" s="76"/>
      <c r="V11" s="75" t="s">
        <v>11</v>
      </c>
      <c r="W11" s="76"/>
      <c r="X11" s="63"/>
      <c r="Y11" s="143"/>
      <c r="Z11" s="144" t="s">
        <v>220</v>
      </c>
      <c r="AA11" s="145"/>
      <c r="AI11" s="4"/>
    </row>
    <row r="12" spans="1:27" ht="12.75">
      <c r="A12" s="77" t="s">
        <v>65</v>
      </c>
      <c r="B12" s="77" t="s">
        <v>7</v>
      </c>
      <c r="C12" s="77" t="s">
        <v>3</v>
      </c>
      <c r="D12" s="77" t="s">
        <v>4</v>
      </c>
      <c r="E12" s="77" t="s">
        <v>10</v>
      </c>
      <c r="F12" s="125" t="s">
        <v>245</v>
      </c>
      <c r="G12" s="77" t="s">
        <v>6</v>
      </c>
      <c r="H12" s="63"/>
      <c r="I12" s="77" t="str">
        <f aca="true" t="shared" si="0" ref="I12:I43">B12</f>
        <v>Age</v>
      </c>
      <c r="J12" s="78" t="s">
        <v>25</v>
      </c>
      <c r="K12" s="78" t="s">
        <v>2</v>
      </c>
      <c r="L12" s="78" t="s">
        <v>11</v>
      </c>
      <c r="M12" s="78" t="s">
        <v>23</v>
      </c>
      <c r="N12" s="78" t="s">
        <v>25</v>
      </c>
      <c r="O12" s="78" t="s">
        <v>2</v>
      </c>
      <c r="P12" s="78" t="s">
        <v>11</v>
      </c>
      <c r="Q12" s="63"/>
      <c r="R12" s="79" t="s">
        <v>5</v>
      </c>
      <c r="S12" s="79" t="s">
        <v>118</v>
      </c>
      <c r="T12" s="79" t="s">
        <v>5</v>
      </c>
      <c r="U12" s="79" t="s">
        <v>118</v>
      </c>
      <c r="V12" s="79" t="s">
        <v>5</v>
      </c>
      <c r="W12" s="79" t="s">
        <v>118</v>
      </c>
      <c r="X12" s="63"/>
      <c r="Y12" s="80" t="s">
        <v>25</v>
      </c>
      <c r="Z12" s="80" t="s">
        <v>2</v>
      </c>
      <c r="AA12" s="81" t="s">
        <v>11</v>
      </c>
    </row>
    <row r="13" spans="1:35" ht="12.75">
      <c r="A13" s="47">
        <v>1</v>
      </c>
      <c r="B13" s="47">
        <f>J3</f>
        <v>70</v>
      </c>
      <c r="C13" s="82">
        <f>IF(A13&gt;$G$5,$D$4,$C$4)</f>
        <v>0.03</v>
      </c>
      <c r="D13" s="82">
        <f>IF(A13&gt;$G$5,$D$5,$C$5)</f>
        <v>0.045899999999999996</v>
      </c>
      <c r="E13" s="82">
        <f>IF(A13&gt;$G$5,$D$6,$C$6)</f>
        <v>0.35</v>
      </c>
      <c r="F13" s="82">
        <f>IF(A13&gt;$G$5,$D$7,$C$7)</f>
        <v>0.15</v>
      </c>
      <c r="G13" s="83">
        <f>G7</f>
        <v>5025</v>
      </c>
      <c r="H13" s="47"/>
      <c r="I13" s="47">
        <f t="shared" si="0"/>
        <v>70</v>
      </c>
      <c r="J13" s="83">
        <f>$R$3*12</f>
        <v>6073.68</v>
      </c>
      <c r="K13" s="83">
        <f>12*$R$5</f>
        <v>7891.08</v>
      </c>
      <c r="L13" s="83">
        <f>$R$4*12</f>
        <v>5910.6</v>
      </c>
      <c r="M13" s="84">
        <f>IF('Inputs and Results'!I56=TRUE,(M5-0.5*G13/(1-E13))*(1+D13)-0.5*G13/(1-E13),IF('Inputs and Results'!$I$54=TRUE,(M5-0.5*G13/(1-E13))*(1+D13)-0.5*G13/(1-E13),(M5-0.5*G13)*(1+D13*(1-F13))-0.5*G13))</f>
        <v>98778.4748125</v>
      </c>
      <c r="N13" s="84">
        <f>IF('Inputs and Results'!$I$54=TRUE,(0.5*(-$G13+J13*(1-E13)))*(1+$D13*(1-F13))+0.5*(-$G13+J13*(1-E13)),(0.5*(-$G13+J13-Y13))*(1+$D13*(1-F13))+0.5*(-$G13+J13-Y13))</f>
        <v>418.9600822770003</v>
      </c>
      <c r="O13" s="84">
        <f>IF('Inputs and Results'!$I$54=TRUE,(0.5*(-$G13+K13*(1-E13)))*(1+$D13*(1-F13))+0.5*(-$G13+K13*(1-E13)),(0.5*(-$G13+K13-Z13))*(1+$D13*(1-F13))+0.5*(-$G13+K13-Z13))</f>
        <v>2080.079210409585</v>
      </c>
      <c r="P13" s="84">
        <f>IF('Inputs and Results'!$I$54=TRUE,(0.5*(-$G13+L13*(1-E13)))*(1+$D13*(1-F13))+0.5*(-$G13+L13*(1-E13)),(0.5*(-$G13+L13-AA13))*(1+$D13*(1-F13))+0.5*(-$G13+L13-AA13))</f>
        <v>769.4508564600003</v>
      </c>
      <c r="Q13" s="47"/>
      <c r="R13" s="85">
        <f>IF('Inputs and Results'!$I$54=TRUE,0,$X$3*J13)</f>
        <v>4251.576</v>
      </c>
      <c r="S13" s="86">
        <f>R13</f>
        <v>4251.576</v>
      </c>
      <c r="T13" s="86">
        <f>IF('Inputs and Results'!$I$54=TRUE,0,K13*$X$5)</f>
        <v>5531.64708</v>
      </c>
      <c r="U13" s="86">
        <f>T13</f>
        <v>5531.64708</v>
      </c>
      <c r="V13" s="85">
        <f>IF('Inputs and Results'!$I$54=TRUE,0,IF(L13&gt;12*$X$4,12*$X$4,L13))</f>
        <v>5536.68</v>
      </c>
      <c r="W13" s="86">
        <f>V13</f>
        <v>5536.68</v>
      </c>
      <c r="X13" s="47"/>
      <c r="Y13" s="86">
        <f>IF('Inputs and Results'!$I$54=TRUE,0,IF(S13&lt;$M$7,(J13-R13)*E13,J13*E13))</f>
        <v>637.7364</v>
      </c>
      <c r="Z13" s="86">
        <f>IF('Inputs and Results'!$I$54=TRUE,0,IF(U13&lt;$M$7,(K13-T13)*E13,K13*E13))</f>
        <v>825.801522</v>
      </c>
      <c r="AA13" s="86">
        <f>IF('Inputs and Results'!$I$54=TRUE,0,IF(W13&lt;$M$7,(L13-V13)*E13,L13*E13))</f>
        <v>130.872</v>
      </c>
      <c r="AH13" s="2"/>
      <c r="AI13" s="2"/>
    </row>
    <row r="14" spans="1:35" ht="12.75">
      <c r="A14" s="47">
        <v>2</v>
      </c>
      <c r="B14" s="47">
        <f>B13+1</f>
        <v>71</v>
      </c>
      <c r="C14" s="82">
        <f aca="true" t="shared" si="1" ref="C14:C63">IF(A14&gt;$G$5,$D$4,$C$4)</f>
        <v>0.03</v>
      </c>
      <c r="D14" s="82">
        <f aca="true" t="shared" si="2" ref="D14:D63">IF(A14&gt;$G$5,$D$5,$C$5)</f>
        <v>0.045899999999999996</v>
      </c>
      <c r="E14" s="82">
        <f aca="true" t="shared" si="3" ref="E14:E63">IF(A14&gt;$G$5,$D$6,$C$6)</f>
        <v>0.35</v>
      </c>
      <c r="F14" s="82">
        <f aca="true" t="shared" si="4" ref="F14:F63">IF(A14&gt;$G$5,$D$7,$C$7)</f>
        <v>0.15</v>
      </c>
      <c r="G14" s="84">
        <f aca="true" t="shared" si="5" ref="G14:G45">G13*(1+C13)*IF(B14=$J$4,$J$5,1)</f>
        <v>5175.75</v>
      </c>
      <c r="H14" s="47"/>
      <c r="I14" s="47">
        <f t="shared" si="0"/>
        <v>71</v>
      </c>
      <c r="J14" s="84">
        <f aca="true" t="shared" si="6" ref="J14:J45">J13*(1+$Z$3)*IF(B14=$J$4,$J$5,1)</f>
        <v>6255.8904</v>
      </c>
      <c r="K14" s="84">
        <f aca="true" t="shared" si="7" ref="K14:K45">$K$13*IF(B14&gt;$J$4-1,$J$5,1)</f>
        <v>7891.08</v>
      </c>
      <c r="L14" s="84">
        <f>L13*(1+C13)*IF(B14=$J$4,$J$5,1)</f>
        <v>6087.918000000001</v>
      </c>
      <c r="M14" s="84">
        <f>IF('Inputs and Results'!I56=TRUE,(M13-0.5*G14/(1-E14))*(1+D14)-0.5*G14/(1-E14),IF('Inputs and Results'!$I$54=TRUE,(M13-0.5*G14/(1-E14))*(1+D14)-0.5*G14/(1-E13),(M13-0.5*G14)*(1+D14*(1-F14))-0.5*G14))</f>
        <v>97355.6010641847</v>
      </c>
      <c r="N14" s="84">
        <f>IF('Inputs and Results'!$I$54=TRUE,(N13+0.5*(-G14+J14*(1-E14)))*(1+D14*(1-F14))+0.5*(-G14+J14*(1-E14)),(N13+0.5*(-G14+J14-Y14))*(1+D14*(1-F14))+0.5*(-G14+J14-Y14))</f>
        <v>866.8346946323477</v>
      </c>
      <c r="O14" s="84">
        <f>IF('Inputs and Results'!$I$54=TRUE,(O13+0.5*(-$G14+K14*(1-E14)))*(1+$D14*(1-F14))+0.5*(-$G14+K14*(1-E14)),(O13+0.5*(-$G14+K14-Z14))*(1+$D14*(1-F14))+0.5*(-$G14+K14-Z14))</f>
        <v>4087.6219555883</v>
      </c>
      <c r="P14" s="84">
        <f>IF('Inputs and Results'!$I$54=TRUE,(P13+0.5*(-$G14+L14*(1-E14)))*(1+$D14*(1-F14))+0.5*(-$G14+L14*(1-E14)),(P13+0.5*(-$G14+L14-AA14))*(1+$D14*(1-F14))+0.5*(-$G14+L14-AA14))</f>
        <v>1532.7361525350377</v>
      </c>
      <c r="Q14" s="47"/>
      <c r="R14" s="85">
        <f>IF('Inputs and Results'!$I$54=TRUE,0,$X$3*J14)</f>
        <v>4379.12328</v>
      </c>
      <c r="S14" s="86">
        <f>R14+S13</f>
        <v>8630.69928</v>
      </c>
      <c r="T14" s="86">
        <f>IF('Inputs and Results'!$I$54=TRUE,0,K14*$X$5)</f>
        <v>5531.64708</v>
      </c>
      <c r="U14" s="86">
        <f>T14+U13</f>
        <v>11063.29416</v>
      </c>
      <c r="V14" s="85">
        <f>IF('Inputs and Results'!$I$54=TRUE,0,IF(L14&gt;12*$X$4,12*$X$4,L14))</f>
        <v>5536.68</v>
      </c>
      <c r="W14" s="86">
        <f>V14+W13</f>
        <v>11073.36</v>
      </c>
      <c r="X14" s="47"/>
      <c r="Y14" s="86">
        <f>IF('Inputs and Results'!$I$54=TRUE,0,IF(S14&lt;$M$7,(J14-R14)*E14,J14*E14))</f>
        <v>656.8684920000001</v>
      </c>
      <c r="Z14" s="86">
        <f>IF('Inputs and Results'!$I$54=TRUE,0,IF(U14&lt;$M$7,(K14-T14)*E14,K14*E14))</f>
        <v>825.801522</v>
      </c>
      <c r="AA14" s="86">
        <f>IF('Inputs and Results'!$I$54=TRUE,0,IF(W14&lt;$M$7,(L14-V14)*E14,L14*E14))</f>
        <v>192.9333000000001</v>
      </c>
      <c r="AE14" s="2"/>
      <c r="AH14" s="2"/>
      <c r="AI14" s="2"/>
    </row>
    <row r="15" spans="1:35" ht="12.75">
      <c r="A15" s="47">
        <v>3</v>
      </c>
      <c r="B15" s="47">
        <f aca="true" t="shared" si="8" ref="B15:B63">B14+1</f>
        <v>72</v>
      </c>
      <c r="C15" s="82">
        <f t="shared" si="1"/>
        <v>0.03</v>
      </c>
      <c r="D15" s="82">
        <f t="shared" si="2"/>
        <v>0.045899999999999996</v>
      </c>
      <c r="E15" s="82">
        <f t="shared" si="3"/>
        <v>0.35</v>
      </c>
      <c r="F15" s="82">
        <f t="shared" si="4"/>
        <v>0.15</v>
      </c>
      <c r="G15" s="84">
        <f t="shared" si="5"/>
        <v>5331.0225</v>
      </c>
      <c r="H15" s="47"/>
      <c r="I15" s="47">
        <f t="shared" si="0"/>
        <v>72</v>
      </c>
      <c r="J15" s="84">
        <f t="shared" si="6"/>
        <v>6443.567112000001</v>
      </c>
      <c r="K15" s="84">
        <f t="shared" si="7"/>
        <v>7891.08</v>
      </c>
      <c r="L15" s="84">
        <f aca="true" t="shared" si="9" ref="L15:L63">L14*(1+C14)*IF(B15=$J$4,$J$5,1)</f>
        <v>6270.555540000001</v>
      </c>
      <c r="M15" s="84">
        <f>IF('Inputs and Results'!I57=TRUE,(M14-0.5*G15/(1-E15))*(1+D15)-0.5*G15/(1-E15),IF('Inputs and Results'!$I$54=TRUE,(M14-0.5*G15/(1-E15))*(1+D15)-0.5*G15/(1-E14),(M14-0.5*G15)*(1+D15*(1-F15))-0.5*G15))</f>
        <v>95718.91241828512</v>
      </c>
      <c r="N15" s="84">
        <f>IF('Inputs and Results'!$I$54=TRUE,(N14+0.5*(-G15+J15*(1-E15)))*(1+D15*(1-F15))+0.5*(-G15+J15*(1-E15)),(N14+0.5*(-G15+J15-Y15))*(1+D15*(1-F15))+0.5*(-G15+J15-Y15))</f>
        <v>1345.1290015310988</v>
      </c>
      <c r="O15" s="84">
        <f>IF('Inputs and Results'!$I$54=TRUE,(O14+0.5*(-$G15+K15*(1-E15)))*(1+$D15*(1-F15))+0.5*(-$G15+K15*(1-E15)),(O14+0.5*(-$G15+K15-Z15))*(1+$D15*(1-F15))+0.5*(-$G15+K15-Z15))</f>
        <v>6015.187502676412</v>
      </c>
      <c r="P15" s="84">
        <f>IF('Inputs and Results'!$I$54=TRUE,(P14+0.5*(-$G15+L15*(1-E15)))*(1+$D15*(1-F15))+0.5*(-$G15+L15*(1-E15)),(P14+0.5*(-$G15+L15-AA15))*(1+$D15*(1-F15))+0.5*(-$G15+L15-AA15))</f>
        <v>2288.5297683202007</v>
      </c>
      <c r="Q15" s="47"/>
      <c r="R15" s="85">
        <f>IF('Inputs and Results'!$I$54=TRUE,0,$X$3*J15)</f>
        <v>4510.4969784</v>
      </c>
      <c r="S15" s="86">
        <f aca="true" t="shared" si="10" ref="S15:U37">R15+S14</f>
        <v>13141.196258400001</v>
      </c>
      <c r="T15" s="86">
        <f>IF('Inputs and Results'!$I$54=TRUE,0,K15*$X$5)</f>
        <v>5531.64708</v>
      </c>
      <c r="U15" s="86">
        <f t="shared" si="10"/>
        <v>16594.94124</v>
      </c>
      <c r="V15" s="85">
        <f>IF('Inputs and Results'!$I$54=TRUE,0,IF(L15&gt;12*$X$4,12*$X$4,L15))</f>
        <v>5536.68</v>
      </c>
      <c r="W15" s="86">
        <f aca="true" t="shared" si="11" ref="W15:W37">V15+W14</f>
        <v>16610.04</v>
      </c>
      <c r="X15" s="47"/>
      <c r="Y15" s="86">
        <f>IF('Inputs and Results'!$I$54=TRUE,0,IF(S15&lt;$M$7,(J15-R15)*E15,J15*E15))</f>
        <v>676.57454676</v>
      </c>
      <c r="Z15" s="86">
        <f>IF('Inputs and Results'!$I$54=TRUE,0,IF(U15&lt;$M$7,(K15-T15)*E15,K15*E15))</f>
        <v>825.801522</v>
      </c>
      <c r="AA15" s="86">
        <f>IF('Inputs and Results'!$I$54=TRUE,0,IF(W15&lt;$M$7,(L15-V15)*E15,L15*E15))</f>
        <v>256.8564390000003</v>
      </c>
      <c r="AE15" s="2"/>
      <c r="AH15" s="2"/>
      <c r="AI15" s="2"/>
    </row>
    <row r="16" spans="1:35" ht="12.75">
      <c r="A16" s="47">
        <v>4</v>
      </c>
      <c r="B16" s="47">
        <f t="shared" si="8"/>
        <v>73</v>
      </c>
      <c r="C16" s="82">
        <f t="shared" si="1"/>
        <v>0.03</v>
      </c>
      <c r="D16" s="82">
        <f t="shared" si="2"/>
        <v>0.045899999999999996</v>
      </c>
      <c r="E16" s="82">
        <f t="shared" si="3"/>
        <v>0.35</v>
      </c>
      <c r="F16" s="82">
        <f t="shared" si="4"/>
        <v>0.15</v>
      </c>
      <c r="G16" s="84">
        <f t="shared" si="5"/>
        <v>5490.953175000001</v>
      </c>
      <c r="H16" s="47"/>
      <c r="I16" s="47">
        <f t="shared" si="0"/>
        <v>73</v>
      </c>
      <c r="J16" s="84">
        <f t="shared" si="6"/>
        <v>6636.874125360001</v>
      </c>
      <c r="K16" s="84">
        <f t="shared" si="7"/>
        <v>7891.08</v>
      </c>
      <c r="L16" s="84">
        <f t="shared" si="9"/>
        <v>6458.672206200002</v>
      </c>
      <c r="M16" s="84">
        <f>IF('Inputs and Results'!I58=TRUE,(M15-0.5*G16/(1-E16))*(1+D16)-0.5*G16/(1-E16),IF('Inputs and Results'!$I$54=TRUE,(M15-0.5*G16/(1-E16))*(1+D16)-0.5*G16/(1-E15),(M15-0.5*G16)*(1+D16*(1-F16))-0.5*G16))</f>
        <v>93855.3178422232</v>
      </c>
      <c r="N16" s="84">
        <f>IF('Inputs and Results'!$I$54=TRUE,(N15+0.5*(-G16+J16*(1-E16)))*(1+D16*(1-F16))+0.5*(-G16+J16*(1-E16)),(N15+0.5*(-G16+J16-Y16))*(1+D16*(1-F16))+0.5*(-G16+J16-Y16))</f>
        <v>1855.4182033521342</v>
      </c>
      <c r="O16" s="84">
        <f>IF('Inputs and Results'!$I$54=TRUE,(O15+0.5*(-$G16+K16*(1-E16)))*(1+$D16*(1-F16))+0.5*(-$G16+K16*(1-E16)),(O15+0.5*(-$G16+K16-Z16))*(1+$D16*(1-F16))+0.5*(-$G16+K16-Z16))</f>
        <v>7854.906496941604</v>
      </c>
      <c r="P16" s="84">
        <f>IF('Inputs and Results'!$I$54=TRUE,(P15+0.5*(-$G16+L16*(1-E16)))*(1+$D16*(1-F16))+0.5*(-$G16+L16*(1-E16)),(P15+0.5*(-$G16+L16-AA16))*(1+$D16*(1-F16))+0.5*(-$G16+L16-AA16))</f>
        <v>3035.4212782254917</v>
      </c>
      <c r="Q16" s="47"/>
      <c r="R16" s="85">
        <f>IF('Inputs and Results'!$I$54=TRUE,0,$X$3*J16)</f>
        <v>4645.811887752</v>
      </c>
      <c r="S16" s="86">
        <f t="shared" si="10"/>
        <v>17787.008146152002</v>
      </c>
      <c r="T16" s="86">
        <f>IF('Inputs and Results'!$I$54=TRUE,0,K16*$X$5)</f>
        <v>5531.64708</v>
      </c>
      <c r="U16" s="86">
        <f t="shared" si="10"/>
        <v>22126.58832</v>
      </c>
      <c r="V16" s="85">
        <f>IF('Inputs and Results'!$I$54=TRUE,0,IF(L16&gt;12*$X$4,12*$X$4,L16))</f>
        <v>5536.68</v>
      </c>
      <c r="W16" s="86">
        <f t="shared" si="11"/>
        <v>22146.72</v>
      </c>
      <c r="X16" s="47"/>
      <c r="Y16" s="86">
        <f>IF('Inputs and Results'!$I$54=TRUE,0,IF(S16&lt;$M$7,(J16-R16)*E16,J16*E16))</f>
        <v>696.8717831628003</v>
      </c>
      <c r="Z16" s="86">
        <f>IF('Inputs and Results'!$I$54=TRUE,0,IF(U16&lt;$M$7,(K16-T16)*E16,K16*E16))</f>
        <v>825.801522</v>
      </c>
      <c r="AA16" s="86">
        <f>IF('Inputs and Results'!$I$54=TRUE,0,IF(W16&lt;$M$7,(L16-V16)*E16,L16*E16))</f>
        <v>322.6972721700005</v>
      </c>
      <c r="AE16" s="2"/>
      <c r="AH16" s="2"/>
      <c r="AI16" s="2"/>
    </row>
    <row r="17" spans="1:35" ht="12.75">
      <c r="A17" s="47">
        <v>5</v>
      </c>
      <c r="B17" s="47">
        <f t="shared" si="8"/>
        <v>74</v>
      </c>
      <c r="C17" s="82">
        <f t="shared" si="1"/>
        <v>0.03</v>
      </c>
      <c r="D17" s="82">
        <f t="shared" si="2"/>
        <v>0.045899999999999996</v>
      </c>
      <c r="E17" s="82">
        <f t="shared" si="3"/>
        <v>0.35</v>
      </c>
      <c r="F17" s="82">
        <f t="shared" si="4"/>
        <v>0.15</v>
      </c>
      <c r="G17" s="84">
        <f t="shared" si="5"/>
        <v>5655.681770250001</v>
      </c>
      <c r="H17" s="47"/>
      <c r="I17" s="47">
        <f t="shared" si="0"/>
        <v>74</v>
      </c>
      <c r="J17" s="84">
        <f t="shared" si="6"/>
        <v>6835.980349120801</v>
      </c>
      <c r="K17" s="84">
        <f t="shared" si="7"/>
        <v>7891.08</v>
      </c>
      <c r="L17" s="84">
        <f t="shared" si="9"/>
        <v>6652.432372386002</v>
      </c>
      <c r="M17" s="84">
        <f>IF('Inputs and Results'!I59=TRUE,(M16-0.5*G17/(1-E17))*(1+D17)-0.5*G17/(1-E17),IF('Inputs and Results'!$I$54=TRUE,(M16-0.5*G17/(1-E17))*(1+D17)-0.5*G17/(1-E16),(M16-0.5*G17)*(1+D17*(1-F17))-0.5*G17))</f>
        <v>91751.0730854544</v>
      </c>
      <c r="N17" s="84">
        <f>IF('Inputs and Results'!$I$54=TRUE,(N16+0.5*(-G17+J17*(1-E17)))*(1+D17*(1-F17))+0.5*(-G17+J17*(1-E17)),(N16+0.5*(-G17+J17-Y17))*(1+D17*(1-F17))+0.5*(-G17+J17-Y17))</f>
        <v>2399.3506081970063</v>
      </c>
      <c r="O17" s="84">
        <f>IF('Inputs and Results'!$I$54=TRUE,(O16+0.5*(-$G17+K17*(1-E17)))*(1+$D17*(1-F17))+0.5*(-$G17+K17*(1-E17)),(O16+0.5*(-$G17+K17-Z17))*(1+$D17*(1-F17))+0.5*(-$G17+K17-Z17))</f>
        <v>9598.460089446213</v>
      </c>
      <c r="P17" s="84">
        <f>IF('Inputs and Results'!$I$54=TRUE,(P16+0.5*(-$G17+L17*(1-E17)))*(1+$D17*(1-F17))+0.5*(-$G17+L17*(1-E17)),(P16+0.5*(-$G17+L17-AA17))*(1+$D17*(1-F17))+0.5*(-$G17+L17-AA17))</f>
        <v>3771.9116847760156</v>
      </c>
      <c r="Q17" s="47"/>
      <c r="R17" s="85">
        <f>IF('Inputs and Results'!$I$54=TRUE,0,$X$3*J17)</f>
        <v>4785.18624438456</v>
      </c>
      <c r="S17" s="86">
        <f t="shared" si="10"/>
        <v>22572.194390536562</v>
      </c>
      <c r="T17" s="86">
        <f>IF('Inputs and Results'!$I$54=TRUE,0,K17*$X$5)</f>
        <v>5531.64708</v>
      </c>
      <c r="U17" s="86">
        <f t="shared" si="10"/>
        <v>27658.235399999998</v>
      </c>
      <c r="V17" s="85">
        <f>IF('Inputs and Results'!$I$54=TRUE,0,IF(L17&gt;12*$X$4,12*$X$4,L17))</f>
        <v>5536.68</v>
      </c>
      <c r="W17" s="86">
        <f t="shared" si="11"/>
        <v>27683.4</v>
      </c>
      <c r="X17" s="47"/>
      <c r="Y17" s="86">
        <f>IF('Inputs and Results'!$I$54=TRUE,0,IF(S17&lt;$M$7,(J17-R17)*E17,J17*E17))</f>
        <v>717.7779366576843</v>
      </c>
      <c r="Z17" s="86">
        <f>IF('Inputs and Results'!$I$54=TRUE,0,IF(U17&lt;$M$7,(K17-T17)*E17,K17*E17))</f>
        <v>825.801522</v>
      </c>
      <c r="AA17" s="86">
        <f>IF('Inputs and Results'!$I$54=TRUE,0,IF(W17&lt;$M$7,(L17-V17)*E17,L17*E17))</f>
        <v>390.5133303351004</v>
      </c>
      <c r="AE17" s="2"/>
      <c r="AH17" s="2"/>
      <c r="AI17" s="2"/>
    </row>
    <row r="18" spans="1:35" ht="12.75">
      <c r="A18" s="47">
        <v>6</v>
      </c>
      <c r="B18" s="47">
        <f t="shared" si="8"/>
        <v>75</v>
      </c>
      <c r="C18" s="82">
        <f t="shared" si="1"/>
        <v>0.03</v>
      </c>
      <c r="D18" s="82">
        <f t="shared" si="2"/>
        <v>0.045899999999999996</v>
      </c>
      <c r="E18" s="82">
        <f t="shared" si="3"/>
        <v>0.35</v>
      </c>
      <c r="F18" s="82">
        <f t="shared" si="4"/>
        <v>0.15</v>
      </c>
      <c r="G18" s="84">
        <f t="shared" si="5"/>
        <v>5825.352223357501</v>
      </c>
      <c r="H18" s="47"/>
      <c r="I18" s="47">
        <f t="shared" si="0"/>
        <v>75</v>
      </c>
      <c r="J18" s="84">
        <f t="shared" si="6"/>
        <v>7041.0597595944255</v>
      </c>
      <c r="K18" s="84">
        <f t="shared" si="7"/>
        <v>7891.08</v>
      </c>
      <c r="L18" s="84">
        <f t="shared" si="9"/>
        <v>6852.005343557582</v>
      </c>
      <c r="M18" s="84">
        <f>IF('Inputs and Results'!I60=TRUE,(M17-0.5*G18/(1-E18))*(1+D18)-0.5*G18/(1-E18),IF('Inputs and Results'!$I$54=TRUE,(M17-0.5*G18/(1-E18))*(1+D18)-0.5*G18/(1-E17),(M17-0.5*G18)*(1+D18*(1-F18))-0.5*G18))</f>
        <v>89391.75092002875</v>
      </c>
      <c r="N18" s="84">
        <f>IF('Inputs and Results'!$I$54=TRUE,(N17+0.5*(-G18+J18*(1-E18)))*(1+D18*(1-F18))+0.5*(-G18+J18*(1-E18)),(N17+0.5*(-G18+J18-Y18))*(1+D18*(1-F18))+0.5*(-G18+J18-Y18))</f>
        <v>2978.650833726133</v>
      </c>
      <c r="O18" s="84">
        <f>IF('Inputs and Results'!$I$54=TRUE,(O17+0.5*(-$G18+K18*(1-E18)))*(1+$D18*(1-F18))+0.5*(-$G18+K18*(1-E18)),(O17+0.5*(-$G18+K18-Z18))*(1+$D18*(1-F18))+0.5*(-$G18+K18-Z18))</f>
        <v>11237.058125890893</v>
      </c>
      <c r="P18" s="84">
        <f>IF('Inputs and Results'!$I$54=TRUE,(P17+0.5*(-$G18+L18*(1-E18)))*(1+$D18*(1-F18))+0.5*(-$G18+L18*(1-E18)),(P17+0.5*(-$G18+L18-AA18))*(1+$D18*(1-F18))+0.5*(-$G18+L18-AA18))</f>
        <v>4496.408956655975</v>
      </c>
      <c r="Q18" s="47"/>
      <c r="R18" s="85">
        <f>IF('Inputs and Results'!$I$54=TRUE,0,$X$3*J18)</f>
        <v>4928.741831716097</v>
      </c>
      <c r="S18" s="86">
        <f t="shared" si="10"/>
        <v>27500.93622225266</v>
      </c>
      <c r="T18" s="86">
        <f>IF('Inputs and Results'!$I$54=TRUE,0,K18*$X$5)</f>
        <v>5531.64708</v>
      </c>
      <c r="U18" s="86">
        <f t="shared" si="10"/>
        <v>33189.88248</v>
      </c>
      <c r="V18" s="85">
        <f>IF('Inputs and Results'!$I$54=TRUE,0,IF(L18&gt;12*$X$4,12*$X$4,L18))</f>
        <v>5536.68</v>
      </c>
      <c r="W18" s="86">
        <f t="shared" si="11"/>
        <v>33220.08</v>
      </c>
      <c r="X18" s="47"/>
      <c r="Y18" s="86">
        <f>IF('Inputs and Results'!$I$54=TRUE,0,IF(S18&lt;$M$7,(J18-R18)*E18,J18*E18))</f>
        <v>739.3112747574148</v>
      </c>
      <c r="Z18" s="86">
        <f>IF('Inputs and Results'!$I$54=TRUE,0,IF(U18&lt;$M$7,(K18-T18)*E18,K18*E18))</f>
        <v>825.801522</v>
      </c>
      <c r="AA18" s="86">
        <f>IF('Inputs and Results'!$I$54=TRUE,0,IF(W18&lt;$M$7,(L18-V18)*E18,L18*E18))</f>
        <v>460.3638702451535</v>
      </c>
      <c r="AE18" s="2"/>
      <c r="AH18" s="2"/>
      <c r="AI18" s="2"/>
    </row>
    <row r="19" spans="1:35" ht="12.75">
      <c r="A19" s="47">
        <v>7</v>
      </c>
      <c r="B19" s="47">
        <f t="shared" si="8"/>
        <v>76</v>
      </c>
      <c r="C19" s="82">
        <f t="shared" si="1"/>
        <v>0.03</v>
      </c>
      <c r="D19" s="82">
        <f t="shared" si="2"/>
        <v>0.045899999999999996</v>
      </c>
      <c r="E19" s="82">
        <f t="shared" si="3"/>
        <v>0.35</v>
      </c>
      <c r="F19" s="82">
        <f t="shared" si="4"/>
        <v>0.15</v>
      </c>
      <c r="G19" s="84">
        <f t="shared" si="5"/>
        <v>6000.112790058227</v>
      </c>
      <c r="H19" s="47"/>
      <c r="I19" s="47">
        <f t="shared" si="0"/>
        <v>76</v>
      </c>
      <c r="J19" s="84">
        <f t="shared" si="6"/>
        <v>7252.2915523822585</v>
      </c>
      <c r="K19" s="84">
        <f t="shared" si="7"/>
        <v>7891.08</v>
      </c>
      <c r="L19" s="84">
        <f t="shared" si="9"/>
        <v>7057.56550386431</v>
      </c>
      <c r="M19" s="84">
        <f>IF('Inputs and Results'!I61=TRUE,(M18-0.5*G19/(1-E19))*(1+D19)-0.5*G19/(1-E19),IF('Inputs and Results'!$I$54=TRUE,(M18-0.5*G19/(1-E19))*(1+D19)-0.5*G19/(1-E18),(M18-0.5*G19)*(1+D19*(1-F19))-0.5*G19))</f>
        <v>86762.21009186338</v>
      </c>
      <c r="N19" s="84">
        <f>IF('Inputs and Results'!$I$54=TRUE,(N18+0.5*(-G19+J19*(1-E19)))*(1+D19*(1-F19))+0.5*(-G19+J19*(1-E19)),(N18+0.5*(-G19+J19-Y19))*(1+D19*(1-F19))+0.5*(-G19+J19-Y19))</f>
        <v>3595.1231444007885</v>
      </c>
      <c r="O19" s="84">
        <f>IF('Inputs and Results'!$I$54=TRUE,(O18+0.5*(-$G19+K19*(1-E19)))*(1+$D19*(1-F19))+0.5*(-$G19+K19*(1-E19)),(O18+0.5*(-$G19+K19-Z19))*(1+$D19*(1-F19))+0.5*(-$G19+K19-Z19))</f>
        <v>12761.416356271822</v>
      </c>
      <c r="P19" s="84">
        <f>IF('Inputs and Results'!$I$54=TRUE,(P18+0.5*(-$G19+L19*(1-E19)))*(1+$D19*(1-F19))+0.5*(-$G19+L19*(1-E19)),(P18+0.5*(-$G19+L19-AA19))*(1+$D19*(1-F19))+0.5*(-$G19+L19-AA19))</f>
        <v>5207.223362479734</v>
      </c>
      <c r="Q19" s="47"/>
      <c r="R19" s="85">
        <f>IF('Inputs and Results'!$I$54=TRUE,0,$X$3*J19)</f>
        <v>5076.60408666758</v>
      </c>
      <c r="S19" s="86">
        <f t="shared" si="10"/>
        <v>32577.54030892024</v>
      </c>
      <c r="T19" s="86">
        <f>IF('Inputs and Results'!$I$54=TRUE,0,K19*$X$5)</f>
        <v>5531.64708</v>
      </c>
      <c r="U19" s="86">
        <f t="shared" si="10"/>
        <v>38721.52956</v>
      </c>
      <c r="V19" s="85">
        <f>IF('Inputs and Results'!$I$54=TRUE,0,IF(L19&gt;12*$X$4,12*$X$4,L19))</f>
        <v>5536.68</v>
      </c>
      <c r="W19" s="86">
        <f t="shared" si="11"/>
        <v>38756.76</v>
      </c>
      <c r="X19" s="47"/>
      <c r="Y19" s="86">
        <f>IF('Inputs and Results'!$I$54=TRUE,0,IF(S19&lt;$M$7,(J19-R19)*E19,J19*E19))</f>
        <v>761.4906130001373</v>
      </c>
      <c r="Z19" s="86">
        <f>IF('Inputs and Results'!$I$54=TRUE,0,IF(U19&lt;$M$7,(K19-T19)*E19,K19*E19))</f>
        <v>825.801522</v>
      </c>
      <c r="AA19" s="86">
        <f>IF('Inputs and Results'!$I$54=TRUE,0,IF(W19&lt;$M$7,(L19-V19)*E19,L19*E19))</f>
        <v>532.3099263525083</v>
      </c>
      <c r="AE19" s="2"/>
      <c r="AH19" s="2"/>
      <c r="AI19" s="2"/>
    </row>
    <row r="20" spans="1:35" ht="12.75">
      <c r="A20" s="47">
        <v>8</v>
      </c>
      <c r="B20" s="47">
        <f t="shared" si="8"/>
        <v>77</v>
      </c>
      <c r="C20" s="82">
        <f t="shared" si="1"/>
        <v>0.03</v>
      </c>
      <c r="D20" s="82">
        <f t="shared" si="2"/>
        <v>0.045899999999999996</v>
      </c>
      <c r="E20" s="82">
        <f t="shared" si="3"/>
        <v>0.35</v>
      </c>
      <c r="F20" s="82">
        <f t="shared" si="4"/>
        <v>0.15</v>
      </c>
      <c r="G20" s="84">
        <f t="shared" si="5"/>
        <v>6180.116173759974</v>
      </c>
      <c r="H20" s="47"/>
      <c r="I20" s="47">
        <f t="shared" si="0"/>
        <v>77</v>
      </c>
      <c r="J20" s="84">
        <f t="shared" si="6"/>
        <v>7469.860298953727</v>
      </c>
      <c r="K20" s="84">
        <f t="shared" si="7"/>
        <v>7891.08</v>
      </c>
      <c r="L20" s="84">
        <f t="shared" si="9"/>
        <v>7269.292468980239</v>
      </c>
      <c r="M20" s="84">
        <f>IF('Inputs and Results'!P78=TRUE,(M19-0.5*G20/(1-E20))*(1+D20)-0.5*G20/(1-E20),IF('Inputs and Results'!$I$54=TRUE,(M19-0.5*G20/(1-E20))*(1+D20)-0.5*G20/(1-E19),(M19-0.5*G20)*(1+D20*(1-F20))-0.5*G20))</f>
        <v>83846.56292857783</v>
      </c>
      <c r="N20" s="84">
        <f>IF('Inputs and Results'!$I$54=TRUE,(N19+0.5*(-G20+J20*(1-E20)))*(1+D20*(1-F20))+0.5*(-G20+J20*(1-E20)),(N19+0.5*(-G20+J20-Y20))*(1+D20*(1-F20))+0.5*(-G20+J20-Y20))</f>
        <v>4250.654929728321</v>
      </c>
      <c r="O20" s="84">
        <f>IF('Inputs and Results'!$I$54=TRUE,(O19+0.5*(-$G20+K20*(1-E20)))*(1+$D20*(1-F20))+0.5*(-$G20+K20*(1-E20)),(O19+0.5*(-$G20+K20-Z20))*(1+$D20*(1-F20))+0.5*(-$G20+K20-Z20))</f>
        <v>14161.732623301754</v>
      </c>
      <c r="P20" s="84">
        <f>IF('Inputs and Results'!$I$54=TRUE,(P19+0.5*(-$G20+L20*(1-E20)))*(1+$D20*(1-F20))+0.5*(-$G20+L20*(1-E20)),(P19+0.5*(-$G20+L20-AA20))*(1+$D20*(1-F20))+0.5*(-$G20+L20-AA20))</f>
        <v>5902.562591414551</v>
      </c>
      <c r="Q20" s="47"/>
      <c r="R20" s="85">
        <f>IF('Inputs and Results'!$I$54=TRUE,0,$X$3*J20)</f>
        <v>5228.902209267609</v>
      </c>
      <c r="S20" s="86">
        <f t="shared" si="10"/>
        <v>37806.44251818785</v>
      </c>
      <c r="T20" s="86">
        <f>IF('Inputs and Results'!$I$54=TRUE,0,K20*$X$5)</f>
        <v>5531.64708</v>
      </c>
      <c r="U20" s="86">
        <f t="shared" si="10"/>
        <v>44253.176640000005</v>
      </c>
      <c r="V20" s="85">
        <f>IF('Inputs and Results'!$I$54=TRUE,0,IF(L20&gt;12*$X$4,12*$X$4,L20))</f>
        <v>5536.68</v>
      </c>
      <c r="W20" s="86">
        <f t="shared" si="11"/>
        <v>44293.44</v>
      </c>
      <c r="X20" s="47"/>
      <c r="Y20" s="86">
        <f>IF('Inputs and Results'!$I$54=TRUE,0,IF(S20&lt;$M$7,(J20-R20)*E20,J20*E20))</f>
        <v>784.3353313901413</v>
      </c>
      <c r="Z20" s="86">
        <f>IF('Inputs and Results'!$I$54=TRUE,0,IF(U20&lt;$M$7,(K20-T20)*E20,K20*E20))</f>
        <v>825.801522</v>
      </c>
      <c r="AA20" s="86">
        <f>IF('Inputs and Results'!$I$54=TRUE,0,IF(W20&lt;$M$7,(L20-V20)*E20,L20*E20))</f>
        <v>606.4143641430836</v>
      </c>
      <c r="AE20" s="2"/>
      <c r="AH20" s="2"/>
      <c r="AI20" s="2"/>
    </row>
    <row r="21" spans="1:35" ht="12.75">
      <c r="A21" s="47">
        <v>9</v>
      </c>
      <c r="B21" s="47">
        <f t="shared" si="8"/>
        <v>78</v>
      </c>
      <c r="C21" s="82">
        <f t="shared" si="1"/>
        <v>0.03</v>
      </c>
      <c r="D21" s="82">
        <f t="shared" si="2"/>
        <v>0.045899999999999996</v>
      </c>
      <c r="E21" s="82">
        <f t="shared" si="3"/>
        <v>0.35</v>
      </c>
      <c r="F21" s="82">
        <f t="shared" si="4"/>
        <v>0.15</v>
      </c>
      <c r="G21" s="84">
        <f t="shared" si="5"/>
        <v>6365.519658972774</v>
      </c>
      <c r="H21" s="47"/>
      <c r="I21" s="47">
        <f t="shared" si="0"/>
        <v>78</v>
      </c>
      <c r="J21" s="84">
        <f t="shared" si="6"/>
        <v>7693.956107922339</v>
      </c>
      <c r="K21" s="84">
        <f t="shared" si="7"/>
        <v>7891.08</v>
      </c>
      <c r="L21" s="84">
        <f t="shared" si="9"/>
        <v>7487.371243049647</v>
      </c>
      <c r="M21" s="84">
        <f>IF('Inputs and Results'!P79=TRUE,(M20-0.5*G21/(1-E21))*(1+D21)-0.5*G21/(1-E21),IF('Inputs and Results'!$I$54=TRUE,(M20-0.5*G21/(1-E21))*(1+D21)-0.5*G21/(1-E20),(M20-0.5*G21)*(1+D21*(1-F21))-0.5*G21))</f>
        <v>80628.1415475161</v>
      </c>
      <c r="N21" s="84">
        <f>IF('Inputs and Results'!$I$54=TRUE,(N20+0.5*(-G21+J21*(1-E21)))*(1+D21*(1-F21))+0.5*(-G21+J21*(1-E21)),(N20+0.5*(-G21+J21-Y21))*(1+D21*(1-F21))+0.5*(-G21+J21-Y21))</f>
        <v>4947.220329335868</v>
      </c>
      <c r="O21" s="84">
        <f>IF('Inputs and Results'!$I$54=TRUE,(O20+0.5*(-$G21+K21*(1-E21)))*(1+$D21*(1-F21))+0.5*(-$G21+K21*(1-E21)),(O20+0.5*(-$G21+K21-Z21))*(1+$D21*(1-F21))+0.5*(-$G21+K21-Z21))</f>
        <v>15427.661985789271</v>
      </c>
      <c r="P21" s="84">
        <f>IF('Inputs and Results'!$I$54=TRUE,(P20+0.5*(-$G21+L21*(1-E21)))*(1+$D21*(1-F21))+0.5*(-$G21+L21*(1-E21)),(P20+0.5*(-$G21+L21-AA21))*(1+$D21*(1-F21))+0.5*(-$G21+L21-AA21))</f>
        <v>6580.5266514061395</v>
      </c>
      <c r="Q21" s="47"/>
      <c r="R21" s="85">
        <f>IF('Inputs and Results'!$I$54=TRUE,0,$X$3*J21)</f>
        <v>5385.769275545636</v>
      </c>
      <c r="S21" s="86">
        <f t="shared" si="10"/>
        <v>43192.211793733484</v>
      </c>
      <c r="T21" s="86">
        <f>IF('Inputs and Results'!$I$54=TRUE,0,K21*$X$5)</f>
        <v>5531.64708</v>
      </c>
      <c r="U21" s="86">
        <f t="shared" si="10"/>
        <v>49784.82372000001</v>
      </c>
      <c r="V21" s="85">
        <f>IF('Inputs and Results'!$I$54=TRUE,0,IF(L21&gt;12*$X$4,12*$X$4,L21))</f>
        <v>5536.68</v>
      </c>
      <c r="W21" s="86">
        <f t="shared" si="11"/>
        <v>49830.12</v>
      </c>
      <c r="X21" s="47"/>
      <c r="Y21" s="86">
        <f>IF('Inputs and Results'!$I$54=TRUE,0,IF(S21&lt;$M$7,(J21-R21)*E21,J21*E21))</f>
        <v>807.8653913318457</v>
      </c>
      <c r="Z21" s="86">
        <f>IF('Inputs and Results'!$I$54=TRUE,0,IF(U21&lt;$M$7,(K21-T21)*E21,K21*E21))</f>
        <v>825.801522</v>
      </c>
      <c r="AA21" s="86">
        <f>IF('Inputs and Results'!$I$54=TRUE,0,IF(W21&lt;$M$7,(L21-V21)*E21,L21*E21))</f>
        <v>682.7419350673763</v>
      </c>
      <c r="AE21" s="2"/>
      <c r="AH21" s="2"/>
      <c r="AI21" s="2"/>
    </row>
    <row r="22" spans="1:35" ht="12.75">
      <c r="A22" s="47">
        <v>10</v>
      </c>
      <c r="B22" s="47">
        <f t="shared" si="8"/>
        <v>79</v>
      </c>
      <c r="C22" s="82">
        <f t="shared" si="1"/>
        <v>0.03</v>
      </c>
      <c r="D22" s="82">
        <f t="shared" si="2"/>
        <v>0.045899999999999996</v>
      </c>
      <c r="E22" s="82">
        <f t="shared" si="3"/>
        <v>0.35</v>
      </c>
      <c r="F22" s="82">
        <f t="shared" si="4"/>
        <v>0.15</v>
      </c>
      <c r="G22" s="84">
        <f t="shared" si="5"/>
        <v>6556.485248741958</v>
      </c>
      <c r="H22" s="47"/>
      <c r="I22" s="47">
        <f t="shared" si="0"/>
        <v>79</v>
      </c>
      <c r="J22" s="84">
        <f t="shared" si="6"/>
        <v>7924.774791160009</v>
      </c>
      <c r="K22" s="84">
        <f t="shared" si="7"/>
        <v>7891.08</v>
      </c>
      <c r="L22" s="84">
        <f t="shared" si="9"/>
        <v>7711.992380341137</v>
      </c>
      <c r="M22" s="84">
        <f>IF('Inputs and Results'!P80=TRUE,(M21-0.5*G22/(1-E22))*(1+D22)-0.5*G22/(1-E22),IF('Inputs and Results'!$I$54=TRUE,(M21-0.5*G22/(1-E22))*(1+D22)-0.5*G22/(1-E21),(M21-0.5*G22)*(1+D22*(1-F22))-0.5*G22))</f>
        <v>77089.46260526066</v>
      </c>
      <c r="N22" s="84">
        <f>IF('Inputs and Results'!$I$54=TRUE,(N21+0.5*(-G22+J22*(1-E22)))*(1+D22*(1-F22))+0.5*(-G22+J22*(1-E22)),(N21+0.5*(-G22+J22-Y22))*(1+D22*(1-F22))+0.5*(-G22+J22-Y22))</f>
        <v>5686.884010934829</v>
      </c>
      <c r="O22" s="84">
        <f>IF('Inputs and Results'!$I$54=TRUE,(O21+0.5*(-$G22+K22*(1-E22)))*(1+$D22*(1-F22))+0.5*(-$G22+K22*(1-E22)),(O21+0.5*(-$G22+K22-Z22))*(1+$D22*(1-F22))+0.5*(-$G22+K22-Z22))</f>
        <v>16548.290731342633</v>
      </c>
      <c r="P22" s="84">
        <f>IF('Inputs and Results'!$I$54=TRUE,(P21+0.5*(-$G22+L22*(1-E22)))*(1+$D22*(1-F22))+0.5*(-$G22+L22*(1-E22)),(P21+0.5*(-$G22+L22-AA22))*(1+$D22*(1-F22))+0.5*(-$G22+L22-AA22))</f>
        <v>7239.102535369377</v>
      </c>
      <c r="Q22" s="47"/>
      <c r="R22" s="85">
        <f>IF('Inputs and Results'!$I$54=TRUE,0,$X$3*J22)</f>
        <v>5547.342353812006</v>
      </c>
      <c r="S22" s="86">
        <f t="shared" si="10"/>
        <v>48739.55414754549</v>
      </c>
      <c r="T22" s="86">
        <f>IF('Inputs and Results'!$I$54=TRUE,0,K22*$X$5)</f>
        <v>5531.64708</v>
      </c>
      <c r="U22" s="86">
        <f t="shared" si="10"/>
        <v>55316.47080000001</v>
      </c>
      <c r="V22" s="85">
        <f>IF('Inputs and Results'!$I$54=TRUE,0,IF(L22&gt;12*$X$4,12*$X$4,L22))</f>
        <v>5536.68</v>
      </c>
      <c r="W22" s="86">
        <f t="shared" si="11"/>
        <v>55366.8</v>
      </c>
      <c r="X22" s="47"/>
      <c r="Y22" s="86">
        <f>IF('Inputs and Results'!$I$54=TRUE,0,IF(S22&lt;$M$7,(J22-R22)*E22,J22*E22))</f>
        <v>832.101353071801</v>
      </c>
      <c r="Z22" s="86">
        <f>IF('Inputs and Results'!$I$54=TRUE,0,IF(U22&lt;$M$7,(K22-T22)*E22,K22*E22))</f>
        <v>825.801522</v>
      </c>
      <c r="AA22" s="86">
        <f>IF('Inputs and Results'!$I$54=TRUE,0,IF(W22&lt;$M$7,(L22-V22)*E22,L22*E22))</f>
        <v>761.3593331193977</v>
      </c>
      <c r="AE22" s="2"/>
      <c r="AH22" s="2"/>
      <c r="AI22" s="2"/>
    </row>
    <row r="23" spans="1:35" ht="12.75">
      <c r="A23" s="47">
        <v>11</v>
      </c>
      <c r="B23" s="47">
        <f t="shared" si="8"/>
        <v>80</v>
      </c>
      <c r="C23" s="82">
        <f t="shared" si="1"/>
        <v>0.05</v>
      </c>
      <c r="D23" s="82">
        <f t="shared" si="2"/>
        <v>0.026000000000000002</v>
      </c>
      <c r="E23" s="82">
        <f t="shared" si="3"/>
        <v>0.45</v>
      </c>
      <c r="F23" s="82">
        <f t="shared" si="4"/>
        <v>0.35</v>
      </c>
      <c r="G23" s="84">
        <f t="shared" si="5"/>
        <v>6753.179806204216</v>
      </c>
      <c r="H23" s="47"/>
      <c r="I23" s="47">
        <f t="shared" si="0"/>
        <v>80</v>
      </c>
      <c r="J23" s="84">
        <f t="shared" si="6"/>
        <v>8162.51803489481</v>
      </c>
      <c r="K23" s="84">
        <f t="shared" si="7"/>
        <v>7891.08</v>
      </c>
      <c r="L23" s="84">
        <f t="shared" si="9"/>
        <v>7943.352151751371</v>
      </c>
      <c r="M23" s="84">
        <f>IF('Inputs and Results'!I65=TRUE,(M22-0.5*G23/(1-E23))*(1+D23)-0.5*G23/(1-E23),IF('Inputs and Results'!$I$54=TRUE,(M22-0.5*G23/(1-E23))*(1+D23)-0.5*G23/(1-E22),(M22-0.5*G23)*(1+D23*(1-F23))-0.5*G23))</f>
        <v>71582.03034772292</v>
      </c>
      <c r="N23" s="84">
        <f>IF('Inputs and Results'!$I$54=TRUE,(N22+0.5*(-G23+J23*(1-E23)))*(1+D23*(1-F23))+0.5*(-G23+J23*(1-E23)),(N22+0.5*(-G23+J23-Y23))*(1+D23*(1-F23))+0.5*(-G23+J23-Y23))</f>
        <v>6092.98816028355</v>
      </c>
      <c r="O23" s="84">
        <f>IF('Inputs and Results'!$I$54=TRUE,(O22+0.5*(-$G23+K23*(1-E23)))*(1+$D23*(1-F23))+0.5*(-$G23+K23*(1-E23)),(O22+0.5*(-$G23+K23-Z23))*(1+$D23*(1-F23))+0.5*(-$G23+K23-Z23))</f>
        <v>16904.755737457377</v>
      </c>
      <c r="P23" s="84">
        <f>IF('Inputs and Results'!$I$54=TRUE,(P22+0.5*(-$G23+L23*(1-E23)))*(1+$D23*(1-F23))+0.5*(-$G23+L23*(1-E23)),(P22+0.5*(-$G23+L23-AA23))*(1+$D23*(1-F23))+0.5*(-$G23+L23-AA23))</f>
        <v>7469.518830938994</v>
      </c>
      <c r="Q23" s="47"/>
      <c r="R23" s="85">
        <f>IF('Inputs and Results'!$I$54=TRUE,0,$X$3*J23)</f>
        <v>5713.7626244263665</v>
      </c>
      <c r="S23" s="86">
        <f t="shared" si="10"/>
        <v>54453.316771971855</v>
      </c>
      <c r="T23" s="86">
        <f>IF('Inputs and Results'!$I$54=TRUE,0,K23*$X$5)</f>
        <v>5531.64708</v>
      </c>
      <c r="U23" s="86">
        <f t="shared" si="10"/>
        <v>60848.11788000001</v>
      </c>
      <c r="V23" s="85">
        <f>IF('Inputs and Results'!$I$54=TRUE,0,IF(L23&gt;12*$X$4,12*$X$4,L23))</f>
        <v>5536.68</v>
      </c>
      <c r="W23" s="86">
        <f t="shared" si="11"/>
        <v>60903.48</v>
      </c>
      <c r="X23" s="47"/>
      <c r="Y23" s="86">
        <f>IF('Inputs and Results'!$I$54=TRUE,0,IF(S23&lt;$M$7,(J23-R23)*E23,J23*E23))</f>
        <v>1101.9399347107994</v>
      </c>
      <c r="Z23" s="86">
        <f>IF('Inputs and Results'!$I$54=TRUE,0,IF(U23&lt;$M$7,(K23-T23)*E23,K23*E23))</f>
        <v>1061.7448140000001</v>
      </c>
      <c r="AA23" s="86">
        <f>IF('Inputs and Results'!$I$54=TRUE,0,IF(W23&lt;$M$7,(L23-V23)*E23,L23*E23))</f>
        <v>1083.002468288117</v>
      </c>
      <c r="AE23" s="2"/>
      <c r="AH23" s="2"/>
      <c r="AI23" s="2"/>
    </row>
    <row r="24" spans="1:35" ht="12.75">
      <c r="A24" s="47">
        <v>12</v>
      </c>
      <c r="B24" s="47">
        <f t="shared" si="8"/>
        <v>81</v>
      </c>
      <c r="C24" s="82">
        <f t="shared" si="1"/>
        <v>0.05</v>
      </c>
      <c r="D24" s="82">
        <f t="shared" si="2"/>
        <v>0.026000000000000002</v>
      </c>
      <c r="E24" s="82">
        <f t="shared" si="3"/>
        <v>0.45</v>
      </c>
      <c r="F24" s="82">
        <f t="shared" si="4"/>
        <v>0.35</v>
      </c>
      <c r="G24" s="84">
        <f t="shared" si="5"/>
        <v>7090.8387965144275</v>
      </c>
      <c r="H24" s="47"/>
      <c r="I24" s="47">
        <f t="shared" si="0"/>
        <v>81</v>
      </c>
      <c r="J24" s="84">
        <f t="shared" si="6"/>
        <v>8407.393575941654</v>
      </c>
      <c r="K24" s="84">
        <f t="shared" si="7"/>
        <v>7891.08</v>
      </c>
      <c r="L24" s="84">
        <f t="shared" si="9"/>
        <v>8340.51975933894</v>
      </c>
      <c r="M24" s="84">
        <f>IF('Inputs and Results'!I66=TRUE,(M23-0.5*G24/(1-E24))*(1+D24)-0.5*G24/(1-E24),IF('Inputs and Results'!$I$54=TRUE,(M23-0.5*G24/(1-E24))*(1+D24)-0.5*G24/(1-E23),(M23-0.5*G24)*(1+D24*(1-F24))-0.5*G24))</f>
        <v>65641.01027625444</v>
      </c>
      <c r="N24" s="84">
        <f>IF('Inputs and Results'!$I$54=TRUE,(N23+0.5*(-G24+J24*(1-E24)))*(1+D24*(1-F24))+0.5*(-G24+J24*(1-E24)),(N23+0.5*(-G24+J24-Y24))*(1+D24*(1-F24))+0.5*(-G24+J24-Y24))</f>
        <v>6379.050460531851</v>
      </c>
      <c r="O24" s="84">
        <f>IF('Inputs and Results'!$I$54=TRUE,(O23+0.5*(-$G24+K24*(1-E24)))*(1+$D24*(1-F24))+0.5*(-$G24+K24*(1-E24)),(O23+0.5*(-$G24+K24-Z24))*(1+$D24*(1-F24))+0.5*(-$G24+K24-Z24))</f>
        <v>16926.732793397136</v>
      </c>
      <c r="P24" s="84">
        <f>IF('Inputs and Results'!$I$54=TRUE,(P23+0.5*(-$G24+L24*(1-E24)))*(1+$D24*(1-F24))+0.5*(-$G24+L24*(1-E24)),(P23+0.5*(-$G24+L24-AA24))*(1+$D24*(1-F24))+0.5*(-$G24+L24-AA24))</f>
        <v>7583.604973754834</v>
      </c>
      <c r="Q24" s="47"/>
      <c r="R24" s="85">
        <f>IF('Inputs and Results'!$I$54=TRUE,0,$X$3*J24)</f>
        <v>5885.175503159157</v>
      </c>
      <c r="S24" s="86">
        <f t="shared" si="10"/>
        <v>60338.492275131015</v>
      </c>
      <c r="T24" s="86">
        <f>IF('Inputs and Results'!$I$54=TRUE,0,K24*$X$5)</f>
        <v>5531.64708</v>
      </c>
      <c r="U24" s="86">
        <f t="shared" si="10"/>
        <v>66379.76496000001</v>
      </c>
      <c r="V24" s="85">
        <f>IF('Inputs and Results'!$I$54=TRUE,0,IF(L24&gt;12*$X$4,12*$X$4,L24))</f>
        <v>5536.68</v>
      </c>
      <c r="W24" s="86">
        <f t="shared" si="11"/>
        <v>66440.16</v>
      </c>
      <c r="X24" s="47"/>
      <c r="Y24" s="86">
        <f>IF('Inputs and Results'!$I$54=TRUE,0,IF(S24&lt;$M$7,(J24-R24)*E24,J24*E24))</f>
        <v>1134.9981327521236</v>
      </c>
      <c r="Z24" s="86">
        <f>IF('Inputs and Results'!$I$54=TRUE,0,IF(U24&lt;$M$7,(K24-T24)*E24,K24*E24))</f>
        <v>1061.7448140000001</v>
      </c>
      <c r="AA24" s="86">
        <f>IF('Inputs and Results'!$I$54=TRUE,0,IF(W24&lt;$M$7,(L24-V24)*E24,L24*E24))</f>
        <v>1261.727891702523</v>
      </c>
      <c r="AE24" s="2"/>
      <c r="AH24" s="2"/>
      <c r="AI24" s="2"/>
    </row>
    <row r="25" spans="1:35" ht="12.75">
      <c r="A25" s="47">
        <v>13</v>
      </c>
      <c r="B25" s="47">
        <f t="shared" si="8"/>
        <v>82</v>
      </c>
      <c r="C25" s="82">
        <f t="shared" si="1"/>
        <v>0.05</v>
      </c>
      <c r="D25" s="82">
        <f t="shared" si="2"/>
        <v>0.026000000000000002</v>
      </c>
      <c r="E25" s="82">
        <f t="shared" si="3"/>
        <v>0.45</v>
      </c>
      <c r="F25" s="82">
        <f t="shared" si="4"/>
        <v>0.35</v>
      </c>
      <c r="G25" s="84">
        <f t="shared" si="5"/>
        <v>7445.380736340149</v>
      </c>
      <c r="H25" s="47"/>
      <c r="I25" s="47">
        <f t="shared" si="0"/>
        <v>82</v>
      </c>
      <c r="J25" s="84">
        <f t="shared" si="6"/>
        <v>8659.615383219905</v>
      </c>
      <c r="K25" s="84">
        <f t="shared" si="7"/>
        <v>7891.08</v>
      </c>
      <c r="L25" s="84">
        <f t="shared" si="9"/>
        <v>8757.545747305887</v>
      </c>
      <c r="M25" s="84">
        <f>IF('Inputs and Results'!I67=TRUE,(M24-0.5*G25/(1-E25))*(1+D25)-0.5*G25/(1-E25),IF('Inputs and Results'!$I$54=TRUE,(M24-0.5*G25/(1-E25))*(1+D25)-0.5*G25/(1-E24),(M24-0.5*G25)*(1+D25*(1-F25))-0.5*G25))</f>
        <v>59242.04914636092</v>
      </c>
      <c r="N25" s="84">
        <f>IF('Inputs and Results'!$I$54=TRUE,(N24+0.5*(-G25+J25*(1-E25)))*(1+D25*(1-F25))+0.5*(-G25+J25*(1-E25)),(N24+0.5*(-G25+J25-Y25))*(1+D25*(1-F25))+0.5*(-G25+J25-Y25))</f>
        <v>6532.424809977632</v>
      </c>
      <c r="O25" s="84">
        <f>IF('Inputs and Results'!$I$54=TRUE,(O24+0.5*(-$G25+K25*(1-E25)))*(1+$D25*(1-F25))+0.5*(-$G25+K25*(1-E25)),(O24+0.5*(-$G25+K25-Z25))*(1+$D25*(1-F25))+0.5*(-$G25+K25-Z25))</f>
        <v>16591.543442365026</v>
      </c>
      <c r="P25" s="84">
        <f>IF('Inputs and Results'!$I$54=TRUE,(P24+0.5*(-$G25+L25*(1-E25)))*(1+$D25*(1-F25))+0.5*(-$G25+L25*(1-E25)),(P24+0.5*(-$G25+L25-AA25))*(1+$D25*(1-F25))+0.5*(-$G25+L25-AA25))</f>
        <v>7573.3837748279075</v>
      </c>
      <c r="Q25" s="47"/>
      <c r="R25" s="85">
        <f>IF('Inputs and Results'!$I$54=TRUE,0,$X$3*J25)</f>
        <v>6061.730768253933</v>
      </c>
      <c r="S25" s="86">
        <f t="shared" si="10"/>
        <v>66400.22304338495</v>
      </c>
      <c r="T25" s="86">
        <f>IF('Inputs and Results'!$I$54=TRUE,0,K25*$X$5)</f>
        <v>5531.64708</v>
      </c>
      <c r="U25" s="86">
        <f t="shared" si="10"/>
        <v>71911.41204000001</v>
      </c>
      <c r="V25" s="85">
        <f>IF('Inputs and Results'!$I$54=TRUE,0,IF(L25&gt;12*$X$4,12*$X$4,L25))</f>
        <v>5536.68</v>
      </c>
      <c r="W25" s="86">
        <f t="shared" si="11"/>
        <v>71976.84</v>
      </c>
      <c r="X25" s="47"/>
      <c r="Y25" s="86">
        <f>IF('Inputs and Results'!$I$54=TRUE,0,IF(S25&lt;$M$7,(J25-R25)*E25,J25*E25))</f>
        <v>1169.0480767346876</v>
      </c>
      <c r="Z25" s="86">
        <f>IF('Inputs and Results'!$I$54=TRUE,0,IF(U25&lt;$M$7,(K25-T25)*E25,K25*E25))</f>
        <v>1061.7448140000001</v>
      </c>
      <c r="AA25" s="86">
        <f>IF('Inputs and Results'!$I$54=TRUE,0,IF(W25&lt;$M$7,(L25-V25)*E25,L25*E25))</f>
        <v>1449.389586287649</v>
      </c>
      <c r="AE25" s="2"/>
      <c r="AH25" s="2"/>
      <c r="AI25" s="2"/>
    </row>
    <row r="26" spans="1:35" ht="12.75">
      <c r="A26" s="47">
        <v>14</v>
      </c>
      <c r="B26" s="47">
        <f t="shared" si="8"/>
        <v>83</v>
      </c>
      <c r="C26" s="82">
        <f t="shared" si="1"/>
        <v>0.05</v>
      </c>
      <c r="D26" s="82">
        <f t="shared" si="2"/>
        <v>0.026000000000000002</v>
      </c>
      <c r="E26" s="82">
        <f t="shared" si="3"/>
        <v>0.45</v>
      </c>
      <c r="F26" s="82">
        <f t="shared" si="4"/>
        <v>0.35</v>
      </c>
      <c r="G26" s="84">
        <f t="shared" si="5"/>
        <v>7817.649773157157</v>
      </c>
      <c r="H26" s="47"/>
      <c r="I26" s="47">
        <f t="shared" si="0"/>
        <v>83</v>
      </c>
      <c r="J26" s="84">
        <f t="shared" si="6"/>
        <v>8919.403844716502</v>
      </c>
      <c r="K26" s="84">
        <f t="shared" si="7"/>
        <v>7891.08</v>
      </c>
      <c r="L26" s="84">
        <f t="shared" si="9"/>
        <v>9195.423034671181</v>
      </c>
      <c r="M26" s="84">
        <f>IF('Inputs and Results'!I68=TRUE,(M25-0.5*G26/(1-E26))*(1+D26)-0.5*G26/(1-E26),IF('Inputs and Results'!$I$54=TRUE,(M25-0.5*G26/(1-E26))*(1+D26)-0.5*G26/(1-E25),(M25-0.5*G26)*(1+D26*(1-F26))-0.5*G26))</f>
        <v>52359.53086319408</v>
      </c>
      <c r="N26" s="84">
        <f>IF('Inputs and Results'!$I$54=TRUE,(N25+0.5*(-G26+J26*(1-E26)))*(1+D26*(1-F26))+0.5*(-G26+J26*(1-E26)),(N25+0.5*(-G26+J26-Y26))*(1+D26*(1-F26))+0.5*(-G26+J26-Y26))</f>
        <v>6539.592353757687</v>
      </c>
      <c r="O26" s="84">
        <f>IF('Inputs and Results'!$I$54=TRUE,(O25+0.5*(-$G26+K26*(1-E26)))*(1+$D26*(1-F26))+0.5*(-$G26+K26*(1-E26)),(O25+0.5*(-$G26+K26-Z26))*(1+$D26*(1-F26))+0.5*(-$G26+K26-Z26))</f>
        <v>15875.274681122357</v>
      </c>
      <c r="P26" s="84">
        <f>IF('Inputs and Results'!$I$54=TRUE,(P25+0.5*(-$G26+L26*(1-E26)))*(1+$D26*(1-F26))+0.5*(-$G26+L26*(1-E26)),(P25+0.5*(-$G26+L26-AA26))*(1+$D26*(1-F26))+0.5*(-$G26+L26-AA26))</f>
        <v>7430.442670204948</v>
      </c>
      <c r="Q26" s="47"/>
      <c r="R26" s="85">
        <f>IF('Inputs and Results'!$I$54=TRUE,0,$X$3*J26)</f>
        <v>6243.582691301551</v>
      </c>
      <c r="S26" s="86">
        <f t="shared" si="10"/>
        <v>72643.8057346865</v>
      </c>
      <c r="T26" s="86">
        <f>IF('Inputs and Results'!$I$54=TRUE,0,K26*$X$5)</f>
        <v>5531.64708</v>
      </c>
      <c r="U26" s="86">
        <f t="shared" si="10"/>
        <v>77443.05912</v>
      </c>
      <c r="V26" s="85">
        <f>IF('Inputs and Results'!$I$54=TRUE,0,IF(L26&gt;12*$X$4,12*$X$4,L26))</f>
        <v>5536.68</v>
      </c>
      <c r="W26" s="86">
        <f t="shared" si="11"/>
        <v>77513.51999999999</v>
      </c>
      <c r="X26" s="47"/>
      <c r="Y26" s="86">
        <f>IF('Inputs and Results'!$I$54=TRUE,0,IF(S26&lt;$M$7,(J26-R26)*E26,J26*E26))</f>
        <v>1204.1195190367282</v>
      </c>
      <c r="Z26" s="86">
        <f>IF('Inputs and Results'!$I$54=TRUE,0,IF(U26&lt;$M$7,(K26-T26)*E26,K26*E26))</f>
        <v>1061.7448140000001</v>
      </c>
      <c r="AA26" s="86">
        <f>IF('Inputs and Results'!$I$54=TRUE,0,IF(W26&lt;$M$7,(L26-V26)*E26,L26*E26))</f>
        <v>1646.4343656020314</v>
      </c>
      <c r="AE26" s="2"/>
      <c r="AH26" s="2"/>
      <c r="AI26" s="2"/>
    </row>
    <row r="27" spans="1:35" ht="12.75">
      <c r="A27" s="47">
        <v>15</v>
      </c>
      <c r="B27" s="47">
        <f t="shared" si="8"/>
        <v>84</v>
      </c>
      <c r="C27" s="82">
        <f t="shared" si="1"/>
        <v>0.05</v>
      </c>
      <c r="D27" s="82">
        <f t="shared" si="2"/>
        <v>0.026000000000000002</v>
      </c>
      <c r="E27" s="82">
        <f t="shared" si="3"/>
        <v>0.45</v>
      </c>
      <c r="F27" s="82">
        <f t="shared" si="4"/>
        <v>0.35</v>
      </c>
      <c r="G27" s="84">
        <f t="shared" si="5"/>
        <v>8208.532261815015</v>
      </c>
      <c r="H27" s="47"/>
      <c r="I27" s="47">
        <f t="shared" si="0"/>
        <v>84</v>
      </c>
      <c r="J27" s="84">
        <f t="shared" si="6"/>
        <v>9186.985960057997</v>
      </c>
      <c r="K27" s="84">
        <f t="shared" si="7"/>
        <v>7891.08</v>
      </c>
      <c r="L27" s="84">
        <f t="shared" si="9"/>
        <v>9655.19418640474</v>
      </c>
      <c r="M27" s="84">
        <f>IF('Inputs and Results'!I69=TRUE,(M26-0.5*G27/(1-E27))*(1+D27)-0.5*G27/(1-E27),IF('Inputs and Results'!$I$54=TRUE,(M26-0.5*G27/(1-E27))*(1+D27)-0.5*G27/(1-E26),(M26-0.5*G27)*(1+D27*(1-F27))-0.5*G27))</f>
        <v>44966.51257535471</v>
      </c>
      <c r="N27" s="84">
        <f>IF('Inputs and Results'!$I$54=TRUE,(N26+0.5*(-G27+J27*(1-E27)))*(1+D27*(1-F27))+0.5*(-G27+J27*(1-E27)),(N26+0.5*(-G27+J27-Y27))*(1+D27*(1-F27))+0.5*(-G27+J27-Y27))</f>
        <v>6386.109937687562</v>
      </c>
      <c r="O27" s="84">
        <f>IF('Inputs and Results'!$I$54=TRUE,(O26+0.5*(-$G27+K27*(1-E27)))*(1+$D27*(1-F27))+0.5*(-$G27+K27*(1-E27)),(O26+0.5*(-$G27+K27-Z27))*(1+$D27*(1-F27))+0.5*(-$G27+K27-Z27))</f>
        <v>14752.71553212767</v>
      </c>
      <c r="P27" s="84">
        <f>IF('Inputs and Results'!$I$54=TRUE,(P26+0.5*(-$G27+L27*(1-E27)))*(1+$D27*(1-F27))+0.5*(-$G27+L27*(1-E27)),(P26+0.5*(-$G27+L27-AA27))*(1+$D27*(1-F27))+0.5*(-$G27+L27-AA27))</f>
        <v>7145.911335107983</v>
      </c>
      <c r="Q27" s="47"/>
      <c r="R27" s="85">
        <f>IF('Inputs and Results'!$I$54=TRUE,0,$X$3*J27)</f>
        <v>6430.8901720405975</v>
      </c>
      <c r="S27" s="86">
        <f t="shared" si="10"/>
        <v>79074.6959067271</v>
      </c>
      <c r="T27" s="86">
        <f>IF('Inputs and Results'!$I$54=TRUE,0,K27*$X$5)</f>
        <v>5531.64708</v>
      </c>
      <c r="U27" s="86">
        <f t="shared" si="10"/>
        <v>82974.7062</v>
      </c>
      <c r="V27" s="85">
        <f>IF('Inputs and Results'!$I$54=TRUE,0,IF(L27&gt;12*$X$4,12*$X$4,L27))</f>
        <v>5536.68</v>
      </c>
      <c r="W27" s="86">
        <f t="shared" si="11"/>
        <v>83050.19999999998</v>
      </c>
      <c r="X27" s="47"/>
      <c r="Y27" s="86">
        <f>IF('Inputs and Results'!$I$54=TRUE,0,IF(S27&lt;$M$7,(J27-R27)*E27,J27*E27))</f>
        <v>1240.2431046078298</v>
      </c>
      <c r="Z27" s="86">
        <f>IF('Inputs and Results'!$I$54=TRUE,0,IF(U27&lt;$M$7,(K27-T27)*E27,K27*E27))</f>
        <v>1061.7448140000001</v>
      </c>
      <c r="AA27" s="86">
        <f>IF('Inputs and Results'!$I$54=TRUE,0,IF(W27&lt;$M$7,(L27-V27)*E27,L27*E27))</f>
        <v>1853.331383882133</v>
      </c>
      <c r="AE27" s="2"/>
      <c r="AH27" s="2"/>
      <c r="AI27" s="2"/>
    </row>
    <row r="28" spans="1:35" ht="12.75">
      <c r="A28" s="47">
        <v>16</v>
      </c>
      <c r="B28" s="47">
        <f t="shared" si="8"/>
        <v>85</v>
      </c>
      <c r="C28" s="82">
        <f t="shared" si="1"/>
        <v>0.05</v>
      </c>
      <c r="D28" s="82">
        <f t="shared" si="2"/>
        <v>0.026000000000000002</v>
      </c>
      <c r="E28" s="82">
        <f t="shared" si="3"/>
        <v>0.45</v>
      </c>
      <c r="F28" s="82">
        <f t="shared" si="4"/>
        <v>0.35</v>
      </c>
      <c r="G28" s="84">
        <f t="shared" si="5"/>
        <v>8618.958874905766</v>
      </c>
      <c r="H28" s="47"/>
      <c r="I28" s="47">
        <f t="shared" si="0"/>
        <v>85</v>
      </c>
      <c r="J28" s="84">
        <f t="shared" si="6"/>
        <v>9462.595538859738</v>
      </c>
      <c r="K28" s="84">
        <f t="shared" si="7"/>
        <v>7891.08</v>
      </c>
      <c r="L28" s="84">
        <f t="shared" si="9"/>
        <v>10137.953895724977</v>
      </c>
      <c r="M28" s="84">
        <f>IF('Inputs and Results'!I70=TRUE,(M27-0.5*G28/(1-E28))*(1+D28)-0.5*G28/(1-E28),IF('Inputs and Results'!$I$54=TRUE,(M27-0.5*G28/(1-E28))*(1+D28)-0.5*G28/(1-E27),(M27-0.5*G28)*(1+D28*(1-F28))-0.5*G28))</f>
        <v>37034.65756047949</v>
      </c>
      <c r="N28" s="84">
        <f>IF('Inputs and Results'!$I$54=TRUE,(N27+0.5*(-G28+J28*(1-E28)))*(1+D28*(1-F28))+0.5*(-G28+J28*(1-E28)),(N27+0.5*(-G28+J28-Y28))*(1+D28*(1-F28))+0.5*(-G28+J28-Y28))</f>
        <v>6056.555735791845</v>
      </c>
      <c r="O28" s="84">
        <f>IF('Inputs and Results'!$I$54=TRUE,(O27+0.5*(-$G28+K28*(1-E28)))*(1+$D28*(1-F28))+0.5*(-$G28+K28*(1-E28)),(O27+0.5*(-$G28+K28-Z28))*(1+$D28*(1-F28))+0.5*(-$G28+K28-Z28))</f>
        <v>13197.290415543606</v>
      </c>
      <c r="P28" s="84">
        <f>IF('Inputs and Results'!$I$54=TRUE,(P27+0.5*(-$G28+L28*(1-E28)))*(1+$D28*(1-F28))+0.5*(-$G28+L28*(1-E28)),(P27+0.5*(-$G28+L28-AA28))*(1+$D28*(1-F28))+0.5*(-$G28+L28-AA28))</f>
        <v>6710.438168351707</v>
      </c>
      <c r="Q28" s="47"/>
      <c r="R28" s="85">
        <f>IF('Inputs and Results'!$I$54=TRUE,0,$X$3*J28)</f>
        <v>6623.816877201816</v>
      </c>
      <c r="S28" s="86">
        <f t="shared" si="10"/>
        <v>85698.5127839289</v>
      </c>
      <c r="T28" s="86">
        <f>IF('Inputs and Results'!$I$54=TRUE,0,K28*$X$5)</f>
        <v>5531.64708</v>
      </c>
      <c r="U28" s="86">
        <f t="shared" si="10"/>
        <v>88506.35328</v>
      </c>
      <c r="V28" s="85">
        <f>IF('Inputs and Results'!$I$54=TRUE,0,IF(L28&gt;12*$X$4,12*$X$4,L28))</f>
        <v>5536.68</v>
      </c>
      <c r="W28" s="86">
        <f t="shared" si="11"/>
        <v>88586.87999999998</v>
      </c>
      <c r="X28" s="47"/>
      <c r="Y28" s="86">
        <f>IF('Inputs and Results'!$I$54=TRUE,0,IF(S28&lt;$M$7,(J28-R28)*E28,J28*E28))</f>
        <v>1277.4503977460647</v>
      </c>
      <c r="Z28" s="86">
        <f>IF('Inputs and Results'!$I$54=TRUE,0,IF(U28&lt;$M$7,(K28-T28)*E28,K28*E28))</f>
        <v>1061.7448140000001</v>
      </c>
      <c r="AA28" s="86">
        <f>IF('Inputs and Results'!$I$54=TRUE,0,IF(W28&lt;$M$7,(L28-V28)*E28,L28*E28))</f>
        <v>2070.57325307624</v>
      </c>
      <c r="AE28" s="2"/>
      <c r="AH28" s="2"/>
      <c r="AI28" s="2"/>
    </row>
    <row r="29" spans="1:35" ht="12.75">
      <c r="A29" s="47">
        <v>17</v>
      </c>
      <c r="B29" s="47">
        <f t="shared" si="8"/>
        <v>86</v>
      </c>
      <c r="C29" s="82">
        <f t="shared" si="1"/>
        <v>0.05</v>
      </c>
      <c r="D29" s="82">
        <f t="shared" si="2"/>
        <v>0.026000000000000002</v>
      </c>
      <c r="E29" s="82">
        <f t="shared" si="3"/>
        <v>0.45</v>
      </c>
      <c r="F29" s="82">
        <f t="shared" si="4"/>
        <v>0.35</v>
      </c>
      <c r="G29" s="84">
        <f t="shared" si="5"/>
        <v>9049.906818651054</v>
      </c>
      <c r="H29" s="47"/>
      <c r="I29" s="47">
        <f t="shared" si="0"/>
        <v>86</v>
      </c>
      <c r="J29" s="84">
        <f t="shared" si="6"/>
        <v>9746.47340502553</v>
      </c>
      <c r="K29" s="84">
        <f t="shared" si="7"/>
        <v>7891.08</v>
      </c>
      <c r="L29" s="84">
        <f t="shared" si="9"/>
        <v>10644.851590511225</v>
      </c>
      <c r="M29" s="84">
        <f>IF('Inputs and Results'!I71=TRUE,(M28-0.5*G29/(1-E29))*(1+D29)-0.5*G29/(1-E29),IF('Inputs and Results'!$I$54=TRUE,(M28-0.5*G29/(1-E29))*(1+D29)-0.5*G29/(1-E28),(M28-0.5*G29)*(1+D29*(1-F29))-0.5*G29))</f>
        <v>28534.16474198294</v>
      </c>
      <c r="N29" s="84">
        <f>IF('Inputs and Results'!$I$54=TRUE,(N28+0.5*(-G29+J29*(1-E29)))*(1+D29*(1-F29))+0.5*(-G29+J29*(1-E29)),(N28+0.5*(-G29+J29-Y29))*(1+D29*(1-F29))+0.5*(-G29+J29-Y29))</f>
        <v>5534.4719025408385</v>
      </c>
      <c r="O29" s="84">
        <f>IF('Inputs and Results'!$I$54=TRUE,(O28+0.5*(-$G29+K29*(1-E29)))*(1+$D29*(1-F29))+0.5*(-$G29+K29*(1-E29)),(O28+0.5*(-$G29+K29-Z29))*(1+$D29*(1-F29))+0.5*(-$G29+K29-Z29))</f>
        <v>11180.989160619336</v>
      </c>
      <c r="P29" s="84">
        <f>IF('Inputs and Results'!$I$54=TRUE,(P28+0.5*(-$G29+L29*(1-E29)))*(1+$D29*(1-F29))+0.5*(-$G29+L29*(1-E29)),(P28+0.5*(-$G29+L29-AA29))*(1+$D29*(1-F29))+0.5*(-$G29+L29-AA29))</f>
        <v>6114.165590376269</v>
      </c>
      <c r="Q29" s="47"/>
      <c r="R29" s="85">
        <f>IF('Inputs and Results'!$I$54=TRUE,0,$X$3*J29)</f>
        <v>6822.53138351787</v>
      </c>
      <c r="S29" s="86">
        <f t="shared" si="10"/>
        <v>92521.04416744677</v>
      </c>
      <c r="T29" s="86">
        <f>IF('Inputs and Results'!$I$54=TRUE,0,K29*$X$5)</f>
        <v>5531.64708</v>
      </c>
      <c r="U29" s="86">
        <f t="shared" si="10"/>
        <v>94038.00035999999</v>
      </c>
      <c r="V29" s="85">
        <f>IF('Inputs and Results'!$I$54=TRUE,0,IF(L29&gt;12*$X$4,12*$X$4,L29))</f>
        <v>5536.68</v>
      </c>
      <c r="W29" s="86">
        <f t="shared" si="11"/>
        <v>94123.55999999997</v>
      </c>
      <c r="X29" s="47"/>
      <c r="Y29" s="86">
        <f>IF('Inputs and Results'!$I$54=TRUE,0,IF(S29&lt;$M$7,(J29-R29)*E29,J29*E29))</f>
        <v>1315.773909678447</v>
      </c>
      <c r="Z29" s="86">
        <f>IF('Inputs and Results'!$I$54=TRUE,0,IF(U29&lt;$M$7,(K29-T29)*E29,K29*E29))</f>
        <v>1061.7448140000001</v>
      </c>
      <c r="AA29" s="86">
        <f>IF('Inputs and Results'!$I$54=TRUE,0,IF(W29&lt;$M$7,(L29-V29)*E29,L29*E29))</f>
        <v>2298.6772157300516</v>
      </c>
      <c r="AE29" s="2"/>
      <c r="AH29" s="2"/>
      <c r="AI29" s="2"/>
    </row>
    <row r="30" spans="1:35" ht="12.75">
      <c r="A30" s="47">
        <v>18</v>
      </c>
      <c r="B30" s="47">
        <f t="shared" si="8"/>
        <v>87</v>
      </c>
      <c r="C30" s="82">
        <f t="shared" si="1"/>
        <v>0.05</v>
      </c>
      <c r="D30" s="82">
        <f t="shared" si="2"/>
        <v>0.026000000000000002</v>
      </c>
      <c r="E30" s="82">
        <f t="shared" si="3"/>
        <v>0.45</v>
      </c>
      <c r="F30" s="82">
        <f t="shared" si="4"/>
        <v>0.35</v>
      </c>
      <c r="G30" s="84">
        <f t="shared" si="5"/>
        <v>9502.402159583607</v>
      </c>
      <c r="H30" s="47"/>
      <c r="I30" s="47">
        <f t="shared" si="0"/>
        <v>87</v>
      </c>
      <c r="J30" s="84">
        <f t="shared" si="6"/>
        <v>10038.867607176297</v>
      </c>
      <c r="K30" s="84">
        <f t="shared" si="7"/>
        <v>7891.08</v>
      </c>
      <c r="L30" s="84">
        <f t="shared" si="9"/>
        <v>11177.094170036788</v>
      </c>
      <c r="M30" s="84">
        <f>IF('Inputs and Results'!I72=TRUE,(M29-0.5*G30/(1-E30))*(1+D30)-0.5*G30/(1-E30),IF('Inputs and Results'!$I$54=TRUE,(M29-0.5*G30/(1-E30))*(1+D30)-0.5*G30/(1-E29),(M29-0.5*G30)*(1+D30*(1-F30))-0.5*G30))</f>
        <v>19433.694668290358</v>
      </c>
      <c r="N30" s="84">
        <f>IF('Inputs and Results'!$I$54=TRUE,(N29+0.5*(-G30+J30*(1-E30)))*(1+D30*(1-F30))+0.5*(-G30+J30*(1-E30)),(N29+0.5*(-G30+J30-Y30))*(1+D30*(1-F30))+0.5*(-G30+J30-Y30))</f>
        <v>4802.304093126939</v>
      </c>
      <c r="O30" s="84">
        <f>IF('Inputs and Results'!$I$54=TRUE,(O29+0.5*(-$G30+K30*(1-E30)))*(1+$D30*(1-F30))+0.5*(-$G30+K30*(1-E30)),(O29+0.5*(-$G30+K30-Z30))*(1+$D30*(1-F30))+0.5*(-$G30+K30-Z30))</f>
        <v>8674.29348792341</v>
      </c>
      <c r="P30" s="84">
        <f>IF('Inputs and Results'!$I$54=TRUE,(P29+0.5*(-$G30+L30*(1-E30)))*(1+$D30*(1-F30))+0.5*(-$G30+L30*(1-E30)),(P29+0.5*(-$G30+L30-AA30))*(1+$D30*(1-F30))+0.5*(-$G30+L30-AA30))</f>
        <v>5346.704095397018</v>
      </c>
      <c r="Q30" s="47"/>
      <c r="R30" s="85">
        <f>IF('Inputs and Results'!$I$54=TRUE,0,$X$3*J30)</f>
        <v>7027.207325023407</v>
      </c>
      <c r="S30" s="86">
        <f t="shared" si="10"/>
        <v>99548.25149247018</v>
      </c>
      <c r="T30" s="86">
        <f>IF('Inputs and Results'!$I$54=TRUE,0,K30*$X$5)</f>
        <v>5531.64708</v>
      </c>
      <c r="U30" s="86">
        <f t="shared" si="10"/>
        <v>99569.64743999999</v>
      </c>
      <c r="V30" s="85">
        <f>IF('Inputs and Results'!$I$54=TRUE,0,IF(L30&gt;12*$X$4,12*$X$4,L30))</f>
        <v>5536.68</v>
      </c>
      <c r="W30" s="86">
        <f t="shared" si="11"/>
        <v>99660.23999999996</v>
      </c>
      <c r="X30" s="47"/>
      <c r="Y30" s="86">
        <f>IF('Inputs and Results'!$I$54=TRUE,0,IF(S30&lt;$M$7,(J30-R30)*E30,J30*E30))</f>
        <v>1355.2471269688003</v>
      </c>
      <c r="Z30" s="86">
        <f>IF('Inputs and Results'!$I$54=TRUE,0,IF(U30&lt;$M$7,(K30-T30)*E30,K30*E30))</f>
        <v>1061.7448140000001</v>
      </c>
      <c r="AA30" s="86">
        <f>IF('Inputs and Results'!$I$54=TRUE,0,IF(W30&lt;$M$7,(L30-V30)*E30,L30*E30))</f>
        <v>2538.1863765165544</v>
      </c>
      <c r="AE30" s="2"/>
      <c r="AH30" s="2"/>
      <c r="AI30" s="2"/>
    </row>
    <row r="31" spans="1:35" ht="12.75">
      <c r="A31" s="47">
        <v>19</v>
      </c>
      <c r="B31" s="47">
        <f t="shared" si="8"/>
        <v>88</v>
      </c>
      <c r="C31" s="82">
        <f t="shared" si="1"/>
        <v>0.05</v>
      </c>
      <c r="D31" s="82">
        <f t="shared" si="2"/>
        <v>0.026000000000000002</v>
      </c>
      <c r="E31" s="82">
        <f t="shared" si="3"/>
        <v>0.45</v>
      </c>
      <c r="F31" s="82">
        <f t="shared" si="4"/>
        <v>0.35</v>
      </c>
      <c r="G31" s="84">
        <f t="shared" si="5"/>
        <v>9977.522267562788</v>
      </c>
      <c r="H31" s="47"/>
      <c r="I31" s="47">
        <f t="shared" si="0"/>
        <v>88</v>
      </c>
      <c r="J31" s="84">
        <f t="shared" si="6"/>
        <v>10340.033635391586</v>
      </c>
      <c r="K31" s="84">
        <f t="shared" si="7"/>
        <v>7891.08</v>
      </c>
      <c r="L31" s="84">
        <f t="shared" si="9"/>
        <v>11735.948878538627</v>
      </c>
      <c r="M31" s="84">
        <f>IF('Inputs and Results'!I73=TRUE,(M30-0.5*G31/(1-E31))*(1+D31)-0.5*G31/(1-E31),IF('Inputs and Results'!$I$54=TRUE,(M30-0.5*G31/(1-E31))*(1+D31)-0.5*G31/(1-E30),(M30-0.5*G31)*(1+D31*(1-F31))-0.5*G31))</f>
        <v>9700.29177746077</v>
      </c>
      <c r="N31" s="84">
        <f>IF('Inputs and Results'!$I$54=TRUE,(N30+0.5*(-G31+J31*(1-E31)))*(1+D31*(1-F31))+0.5*(-G31+J31*(1-E31)),(N30+0.5*(-G31+J31-Y31))*(1+D31*(1-F31))+0.5*(-G31+J31-Y31))</f>
        <v>556.7045073629452</v>
      </c>
      <c r="O31" s="84">
        <f>IF('Inputs and Results'!$I$54=TRUE,(O30+0.5*(-$G31+K31*(1-E31)))*(1+$D31*(1-F31))+0.5*(-$G31+K31*(1-E31)),(O30+0.5*(-$G31+K31-Z31))*(1+$D31*(1-F31))+0.5*(-$G31+K31-Z31))</f>
        <v>3135.8245114456226</v>
      </c>
      <c r="P31" s="84">
        <f>IF('Inputs and Results'!$I$54=TRUE,(P30+0.5*(-$G31+L31*(1-E31)))*(1+$D31*(1-F31))+0.5*(-$G31+L31*(1-E31)),(P30+0.5*(-$G31+L31-AA31))*(1+$D31*(1-F31))+0.5*(-$G31+L31-AA31))</f>
        <v>1884.5457694947868</v>
      </c>
      <c r="Q31" s="47"/>
      <c r="R31" s="85">
        <f>IF('Inputs and Results'!$I$54=TRUE,0,$X$3*J31)</f>
        <v>7238.02354477411</v>
      </c>
      <c r="S31" s="86">
        <f t="shared" si="10"/>
        <v>106786.2750372443</v>
      </c>
      <c r="T31" s="86">
        <f>IF('Inputs and Results'!$I$54=TRUE,0,K31*$X$5)</f>
        <v>5531.64708</v>
      </c>
      <c r="U31" s="86">
        <f t="shared" si="10"/>
        <v>105101.29451999998</v>
      </c>
      <c r="V31" s="85">
        <f>IF('Inputs and Results'!$I$54=TRUE,0,IF(L31&gt;12*$X$4,12*$X$4,L31))</f>
        <v>5536.68</v>
      </c>
      <c r="W31" s="86">
        <f t="shared" si="11"/>
        <v>105196.91999999995</v>
      </c>
      <c r="X31" s="47"/>
      <c r="Y31" s="86">
        <f>IF('Inputs and Results'!$I$54=TRUE,0,IF(S31&lt;$M$7,(J31-R31)*E31,J31*E31))</f>
        <v>4653.015135926214</v>
      </c>
      <c r="Z31" s="86">
        <f>IF('Inputs and Results'!$I$54=TRUE,0,IF(U31&lt;$M$7,(K31-T31)*E31,K31*E31))</f>
        <v>3550.986</v>
      </c>
      <c r="AA31" s="86">
        <f>IF('Inputs and Results'!$I$54=TRUE,0,IF(W31&lt;$M$7,(L31-V31)*E31,L31*E31))</f>
        <v>5281.176995342383</v>
      </c>
      <c r="AE31" s="2"/>
      <c r="AH31" s="2"/>
      <c r="AI31" s="2"/>
    </row>
    <row r="32" spans="1:35" ht="12.75">
      <c r="A32" s="47">
        <v>20</v>
      </c>
      <c r="B32" s="47">
        <f t="shared" si="8"/>
        <v>89</v>
      </c>
      <c r="C32" s="82">
        <f t="shared" si="1"/>
        <v>0.05</v>
      </c>
      <c r="D32" s="82">
        <f t="shared" si="2"/>
        <v>0.026000000000000002</v>
      </c>
      <c r="E32" s="82">
        <f t="shared" si="3"/>
        <v>0.45</v>
      </c>
      <c r="F32" s="82">
        <f t="shared" si="4"/>
        <v>0.35</v>
      </c>
      <c r="G32" s="84">
        <f t="shared" si="5"/>
        <v>10476.398380940927</v>
      </c>
      <c r="H32" s="47"/>
      <c r="I32" s="47">
        <f t="shared" si="0"/>
        <v>89</v>
      </c>
      <c r="J32" s="84">
        <f t="shared" si="6"/>
        <v>10650.234644453334</v>
      </c>
      <c r="K32" s="84">
        <f t="shared" si="7"/>
        <v>7891.08</v>
      </c>
      <c r="L32" s="84">
        <f t="shared" si="9"/>
        <v>12322.746322465558</v>
      </c>
      <c r="M32" s="84">
        <f>IF('Inputs and Results'!I74=TRUE,(M31-0.5*G32/(1-E32))*(1+D32)-0.5*G32/(1-E32),IF('Inputs and Results'!$I$54=TRUE,(M31-0.5*G32/(1-E32))*(1+D32)-0.5*G32/(1-E31),(M31-0.5*G32)*(1+D32*(1-F32))-0.5*G32))</f>
        <v>-700.6972387600208</v>
      </c>
      <c r="N32" s="84">
        <f>IF('Inputs and Results'!$I$54=TRUE,(N31+0.5*(-G32+J32*(1-E32)))*(1+D32*(1-F32))+0.5*(-G32+J32*(1-E32)),(N31+0.5*(-G32+J32-Y32))*(1+D32*(1-F32))+0.5*(-G32+J32-Y32))</f>
        <v>-4091.6851137630683</v>
      </c>
      <c r="O32" s="84">
        <f>IF('Inputs and Results'!$I$54=TRUE,(O31+0.5*(-$G32+K32*(1-E32)))*(1+$D32*(1-F32))+0.5*(-$G32+K32*(1-E32)),(O31+0.5*(-$G32+K32-Z32))*(1+$D32*(1-F32))+0.5*(-$G32+K32-Z32))</f>
        <v>-2999.3362072708246</v>
      </c>
      <c r="P32" s="84">
        <f>IF('Inputs and Results'!$I$54=TRUE,(P31+0.5*(-$G32+L32*(1-E32)))*(1+$D32*(1-F32))+0.5*(-$G32+L32*(1-E32)),(P31+0.5*(-$G32+L32-AA32))*(1+$D32*(1-F32))+0.5*(-$G32+L32-AA32))</f>
        <v>-1813.748913370914</v>
      </c>
      <c r="Q32" s="47"/>
      <c r="R32" s="85">
        <f>IF('Inputs and Results'!$I$54=TRUE,0,$X$3*J32)</f>
        <v>7455.164251117333</v>
      </c>
      <c r="S32" s="86">
        <f t="shared" si="10"/>
        <v>114241.43928836162</v>
      </c>
      <c r="T32" s="86">
        <f>IF('Inputs and Results'!$I$54=TRUE,0,K32*$X$5)</f>
        <v>5531.64708</v>
      </c>
      <c r="U32" s="86">
        <f t="shared" si="10"/>
        <v>110632.94159999998</v>
      </c>
      <c r="V32" s="85">
        <f>IF('Inputs and Results'!$I$54=TRUE,0,IF(L32&gt;12*$X$4,12*$X$4,L32))</f>
        <v>5536.68</v>
      </c>
      <c r="W32" s="86">
        <f t="shared" si="11"/>
        <v>110733.59999999995</v>
      </c>
      <c r="X32" s="47"/>
      <c r="Y32" s="86">
        <f>IF('Inputs and Results'!$I$54=TRUE,0,IF(S32&lt;$M$7,(J32-R32)*E32,J32*E32))</f>
        <v>4792.605590004</v>
      </c>
      <c r="Z32" s="86">
        <f>IF('Inputs and Results'!$I$54=TRUE,0,IF(U32&lt;$M$7,(K32-T32)*E32,K32*E32))</f>
        <v>3550.986</v>
      </c>
      <c r="AA32" s="86">
        <f>IF('Inputs and Results'!$I$54=TRUE,0,IF(W32&lt;$M$7,(L32-V32)*E32,L32*E32))</f>
        <v>5545.2358451095015</v>
      </c>
      <c r="AE32" s="2"/>
      <c r="AH32" s="2"/>
      <c r="AI32" s="2"/>
    </row>
    <row r="33" spans="1:35" ht="12.75">
      <c r="A33" s="47">
        <v>21</v>
      </c>
      <c r="B33" s="47">
        <f t="shared" si="8"/>
        <v>90</v>
      </c>
      <c r="C33" s="82">
        <f t="shared" si="1"/>
        <v>0.05</v>
      </c>
      <c r="D33" s="82">
        <f t="shared" si="2"/>
        <v>0.026000000000000002</v>
      </c>
      <c r="E33" s="82">
        <f t="shared" si="3"/>
        <v>0.45</v>
      </c>
      <c r="F33" s="82">
        <f t="shared" si="4"/>
        <v>0.35</v>
      </c>
      <c r="G33" s="84">
        <f t="shared" si="5"/>
        <v>11000.218299987975</v>
      </c>
      <c r="H33" s="47"/>
      <c r="I33" s="47">
        <f t="shared" si="0"/>
        <v>90</v>
      </c>
      <c r="J33" s="84">
        <f t="shared" si="6"/>
        <v>10969.741683786935</v>
      </c>
      <c r="K33" s="84">
        <f t="shared" si="7"/>
        <v>7891.08</v>
      </c>
      <c r="L33" s="84">
        <f t="shared" si="9"/>
        <v>12938.883638588837</v>
      </c>
      <c r="M33" s="84">
        <f>IF('Inputs and Results'!I75=TRUE,(M32-0.5*G33/(1-E33))*(1+D33)-0.5*G33/(1-E33),IF('Inputs and Results'!$I$54=TRUE,(M32-0.5*G33/(1-E33))*(1+D33)-0.5*G33/(1-E32),(M32-0.5*G33)*(1+D33*(1-F33))-0.5*G33))</f>
        <v>-11805.709166717937</v>
      </c>
      <c r="N33" s="84">
        <f>IF('Inputs and Results'!$I$54=TRUE,(N32+0.5*(-G33+J33*(1-E33)))*(1+D33*(1-F33))+0.5*(-G33+J33*(1-E33)),(N32+0.5*(-G33+J33-Y33))*(1+D33*(1-F33))+0.5*(-G33+J33-Y33))</f>
        <v>-9169.664936250323</v>
      </c>
      <c r="O33" s="84">
        <f>IF('Inputs and Results'!$I$54=TRUE,(O32+0.5*(-$G33+K33*(1-E33)))*(1+$D33*(1-F33))+0.5*(-$G33+K33*(1-E33)),(O32+0.5*(-$G33+K33-Z33))*(1+$D33*(1-F33))+0.5*(-$G33+K33-Z33))</f>
        <v>-9766.427339496575</v>
      </c>
      <c r="P33" s="84">
        <f>IF('Inputs and Results'!$I$54=TRUE,(P32+0.5*(-$G33+L33*(1-E33)))*(1+$D33*(1-F33))+0.5*(-$G33+L33*(1-E33)),(P32+0.5*(-$G33+L33-AA33))*(1+$D33*(1-F33))+0.5*(-$G33+L33-AA33))</f>
        <v>-5761.051951695554</v>
      </c>
      <c r="Q33" s="47"/>
      <c r="R33" s="85">
        <f>IF('Inputs and Results'!$I$54=TRUE,0,$X$3*J33)</f>
        <v>7678.819178650854</v>
      </c>
      <c r="S33" s="86">
        <f t="shared" si="10"/>
        <v>121920.25846701248</v>
      </c>
      <c r="T33" s="86">
        <f>IF('Inputs and Results'!$I$54=TRUE,0,K33*$X$5)</f>
        <v>5531.64708</v>
      </c>
      <c r="U33" s="86">
        <f t="shared" si="10"/>
        <v>116164.58867999997</v>
      </c>
      <c r="V33" s="85">
        <f>IF('Inputs and Results'!$I$54=TRUE,0,IF(L33&gt;12*$X$4,12*$X$4,L33))</f>
        <v>5536.68</v>
      </c>
      <c r="W33" s="86">
        <f t="shared" si="11"/>
        <v>116270.27999999994</v>
      </c>
      <c r="X33" s="47"/>
      <c r="Y33" s="86">
        <f>IF('Inputs and Results'!$I$54=TRUE,0,IF(S33&lt;$M$7,(J33-R33)*E33,J33*E33))</f>
        <v>4936.383757704121</v>
      </c>
      <c r="Z33" s="86">
        <f>IF('Inputs and Results'!$I$54=TRUE,0,IF(U33&lt;$M$7,(K33-T33)*E33,K33*E33))</f>
        <v>3550.986</v>
      </c>
      <c r="AA33" s="86">
        <f>IF('Inputs and Results'!$I$54=TRUE,0,IF(W33&lt;$M$7,(L33-V33)*E33,L33*E33))</f>
        <v>5822.497637364977</v>
      </c>
      <c r="AE33" s="2"/>
      <c r="AH33" s="2"/>
      <c r="AI33" s="2"/>
    </row>
    <row r="34" spans="1:35" ht="12.75">
      <c r="A34" s="47">
        <v>22</v>
      </c>
      <c r="B34" s="47">
        <f t="shared" si="8"/>
        <v>91</v>
      </c>
      <c r="C34" s="82">
        <f t="shared" si="1"/>
        <v>0.05</v>
      </c>
      <c r="D34" s="82">
        <f t="shared" si="2"/>
        <v>0.026000000000000002</v>
      </c>
      <c r="E34" s="82">
        <f t="shared" si="3"/>
        <v>0.45</v>
      </c>
      <c r="F34" s="82">
        <f t="shared" si="4"/>
        <v>0.35</v>
      </c>
      <c r="G34" s="84">
        <f t="shared" si="5"/>
        <v>11550.229214987374</v>
      </c>
      <c r="H34" s="47"/>
      <c r="I34" s="47">
        <f t="shared" si="0"/>
        <v>91</v>
      </c>
      <c r="J34" s="84">
        <f t="shared" si="6"/>
        <v>11298.833934300543</v>
      </c>
      <c r="K34" s="84">
        <f t="shared" si="7"/>
        <v>7891.08</v>
      </c>
      <c r="L34" s="84">
        <f t="shared" si="9"/>
        <v>13585.82782051828</v>
      </c>
      <c r="M34" s="84">
        <f>IF('Inputs and Results'!I76=TRUE,(M33-0.5*G34/(1-E34))*(1+D34)-0.5*G34/(1-E34),IF('Inputs and Results'!$I$54=TRUE,(M33-0.5*G34/(1-E34))*(1+D34)-0.5*G34/(1-E33),(M33-0.5*G34)*(1+D34*(1-F34))-0.5*G34))</f>
        <v>-23653.054303489487</v>
      </c>
      <c r="N34" s="84">
        <f>IF('Inputs and Results'!$I$54=TRUE,(N33+0.5*(-G34+J34*(1-E34)))*(1+D34*(1-F34))+0.5*(-G34+J34*(1-E34)),(N33+0.5*(-G34+J34-Y34))*(1+D34*(1-F34))+0.5*(-G34+J34-Y34))</f>
        <v>-14705.59093095201</v>
      </c>
      <c r="O34" s="84">
        <f>IF('Inputs and Results'!$I$54=TRUE,(O33+0.5*(-$G34+K34*(1-E34)))*(1+$D34*(1-F34))+0.5*(-$G34+K34*(1-E34)),(O33+0.5*(-$G34+K34-Z34))*(1+$D34*(1-F34))+0.5*(-$G34+K34-Z34))</f>
        <v>-17202.540819088084</v>
      </c>
      <c r="P34" s="84">
        <f>IF('Inputs and Results'!$I$54=TRUE,(P33+0.5*(-$G34+L34*(1-E34)))*(1+$D34*(1-F34))+0.5*(-$G34+L34*(1-E34)),(P33+0.5*(-$G34+L34-AA34))*(1+$D34*(1-F34))+0.5*(-$G34+L34-AA34))</f>
        <v>-9970.896945452312</v>
      </c>
      <c r="Q34" s="47"/>
      <c r="R34" s="85">
        <f>IF('Inputs and Results'!$I$54=TRUE,0,$X$3*J34)</f>
        <v>7909.18375401038</v>
      </c>
      <c r="S34" s="86">
        <f t="shared" si="10"/>
        <v>129829.44222102285</v>
      </c>
      <c r="T34" s="86">
        <f>IF('Inputs and Results'!$I$54=TRUE,0,K34*$X$5)</f>
        <v>5531.64708</v>
      </c>
      <c r="U34" s="86">
        <f t="shared" si="10"/>
        <v>121696.23575999997</v>
      </c>
      <c r="V34" s="85">
        <f>IF('Inputs and Results'!$I$54=TRUE,0,IF(L34&gt;12*$X$4,12*$X$4,L34))</f>
        <v>5536.68</v>
      </c>
      <c r="W34" s="86">
        <f t="shared" si="11"/>
        <v>121806.95999999993</v>
      </c>
      <c r="X34" s="47"/>
      <c r="Y34" s="86">
        <f>IF('Inputs and Results'!$I$54=TRUE,0,IF(S34&lt;$M$7,(J34-R34)*E34,J34*E34))</f>
        <v>5084.475270435244</v>
      </c>
      <c r="Z34" s="86">
        <f>IF('Inputs and Results'!$I$54=TRUE,0,IF(U34&lt;$M$7,(K34-T34)*E34,K34*E34))</f>
        <v>3550.986</v>
      </c>
      <c r="AA34" s="86">
        <f>IF('Inputs and Results'!$I$54=TRUE,0,IF(W34&lt;$M$7,(L34-V34)*E34,L34*E34))</f>
        <v>6113.622519233226</v>
      </c>
      <c r="AE34" s="2"/>
      <c r="AH34" s="2"/>
      <c r="AI34" s="2"/>
    </row>
    <row r="35" spans="1:35" ht="12.75">
      <c r="A35" s="47">
        <v>23</v>
      </c>
      <c r="B35" s="47">
        <f t="shared" si="8"/>
        <v>92</v>
      </c>
      <c r="C35" s="82">
        <f t="shared" si="1"/>
        <v>0.05</v>
      </c>
      <c r="D35" s="82">
        <f t="shared" si="2"/>
        <v>0.026000000000000002</v>
      </c>
      <c r="E35" s="82">
        <f t="shared" si="3"/>
        <v>0.45</v>
      </c>
      <c r="F35" s="82">
        <f t="shared" si="4"/>
        <v>0.35</v>
      </c>
      <c r="G35" s="84">
        <f t="shared" si="5"/>
        <v>12127.740675736743</v>
      </c>
      <c r="H35" s="47"/>
      <c r="I35" s="47">
        <f t="shared" si="0"/>
        <v>92</v>
      </c>
      <c r="J35" s="84">
        <f t="shared" si="6"/>
        <v>11637.79895232956</v>
      </c>
      <c r="K35" s="84">
        <f t="shared" si="7"/>
        <v>7891.08</v>
      </c>
      <c r="L35" s="84">
        <f t="shared" si="9"/>
        <v>14265.119211544194</v>
      </c>
      <c r="M35" s="84">
        <f>IF('Inputs and Results'!I77=TRUE,(M34-0.5*G35/(1-E35))*(1+D35)-0.5*G35/(1-E35),IF('Inputs and Results'!$I$54=TRUE,(M34-0.5*G35/(1-E35))*(1+D35)-0.5*G35/(1-E34),(M34-0.5*G35)*(1+D35*(1-F35))-0.5*G35))</f>
        <v>-36283.011005665176</v>
      </c>
      <c r="N35" s="84">
        <f>IF('Inputs and Results'!$I$54=TRUE,(N34+0.5*(-G35+J35*(1-E35)))*(1+D35*(1-F35))+0.5*(-G35+J35*(1-E35)),(N34+0.5*(-G35+J35-Y35))*(1+D35*(1-F35))+0.5*(-G35+J35-Y35))</f>
        <v>-20729.459407719605</v>
      </c>
      <c r="O35" s="84">
        <f>IF('Inputs and Results'!$I$54=TRUE,(O34+0.5*(-$G35+K35*(1-E35)))*(1+$D35*(1-F35))+0.5*(-$G35+K35*(1-E35)),(O34+0.5*(-$G35+K35-Z35))*(1+$D35*(1-F35))+0.5*(-$G35+K35-Z35))</f>
        <v>-25346.716049077393</v>
      </c>
      <c r="P35" s="84">
        <f>IF('Inputs and Results'!$I$54=TRUE,(P34+0.5*(-$G35+L35*(1-E35)))*(1+$D35*(1-F35))+0.5*(-$G35+L35*(1-E35)),(P34+0.5*(-$G35+L35-AA35))*(1+$D35*(1-F35))+0.5*(-$G35+L35-AA35))</f>
        <v>-14457.512480392217</v>
      </c>
      <c r="Q35" s="47"/>
      <c r="R35" s="85">
        <f>IF('Inputs and Results'!$I$54=TRUE,0,$X$3*J35)</f>
        <v>8146.459266630692</v>
      </c>
      <c r="S35" s="86">
        <f t="shared" si="10"/>
        <v>137975.90148765355</v>
      </c>
      <c r="T35" s="86">
        <f>IF('Inputs and Results'!$I$54=TRUE,0,K35*$X$5)</f>
        <v>5531.64708</v>
      </c>
      <c r="U35" s="86">
        <f t="shared" si="10"/>
        <v>127227.88283999996</v>
      </c>
      <c r="V35" s="85">
        <f>IF('Inputs and Results'!$I$54=TRUE,0,IF(L35&gt;12*$X$4,12*$X$4,L35))</f>
        <v>5536.68</v>
      </c>
      <c r="W35" s="86">
        <f t="shared" si="11"/>
        <v>127343.63999999993</v>
      </c>
      <c r="X35" s="47"/>
      <c r="Y35" s="86">
        <f>IF('Inputs and Results'!$I$54=TRUE,0,IF(S35&lt;$M$7,(J35-R35)*E35,J35*E35))</f>
        <v>5237.009528548302</v>
      </c>
      <c r="Z35" s="86">
        <f>IF('Inputs and Results'!$I$54=TRUE,0,IF(U35&lt;$M$7,(K35-T35)*E35,K35*E35))</f>
        <v>3550.986</v>
      </c>
      <c r="AA35" s="86">
        <f>IF('Inputs and Results'!$I$54=TRUE,0,IF(W35&lt;$M$7,(L35-V35)*E35,L35*E35))</f>
        <v>6419.303645194887</v>
      </c>
      <c r="AE35" s="2"/>
      <c r="AH35" s="2"/>
      <c r="AI35" s="2"/>
    </row>
    <row r="36" spans="1:35" ht="12.75">
      <c r="A36" s="47">
        <v>24</v>
      </c>
      <c r="B36" s="47">
        <f t="shared" si="8"/>
        <v>93</v>
      </c>
      <c r="C36" s="82">
        <f t="shared" si="1"/>
        <v>0.05</v>
      </c>
      <c r="D36" s="82">
        <f t="shared" si="2"/>
        <v>0.026000000000000002</v>
      </c>
      <c r="E36" s="82">
        <f t="shared" si="3"/>
        <v>0.45</v>
      </c>
      <c r="F36" s="82">
        <f t="shared" si="4"/>
        <v>0.35</v>
      </c>
      <c r="G36" s="84">
        <f t="shared" si="5"/>
        <v>12734.12770952358</v>
      </c>
      <c r="H36" s="47"/>
      <c r="I36" s="47">
        <f t="shared" si="0"/>
        <v>93</v>
      </c>
      <c r="J36" s="84">
        <f t="shared" si="6"/>
        <v>11986.932920899448</v>
      </c>
      <c r="K36" s="84">
        <f t="shared" si="7"/>
        <v>7891.08</v>
      </c>
      <c r="L36" s="84">
        <f t="shared" si="9"/>
        <v>14978.375172121403</v>
      </c>
      <c r="M36" s="84">
        <f>IF('Inputs and Results'!I78=TRUE,(M35-0.5*G36/(1-E36))*(1+D36)-0.5*G36/(1-E36),IF('Inputs and Results'!$I$54=TRUE,(M35-0.5*G36/(1-E36))*(1+D36)-0.5*G36/(1-E35),(M35-0.5*G36)*(1+D36*(1-F36))-0.5*G36))</f>
        <v>-49737.924980329975</v>
      </c>
      <c r="N36" s="84">
        <f>IF('Inputs and Results'!$I$54=TRUE,(N35+0.5*(-G36+J36*(1-E36)))*(1+D36*(1-F36))+0.5*(-G36+J36*(1-E36)),(N35+0.5*(-G36+J36-Y36))*(1+D36*(1-F36))+0.5*(-G36+J36-Y36))</f>
        <v>-27272.995983134544</v>
      </c>
      <c r="O36" s="84">
        <f>IF('Inputs and Results'!$I$54=TRUE,(O35+0.5*(-$G36+K36*(1-E36)))*(1+$D36*(1-F36))+0.5*(-$G36+K36*(1-E36)),(O35+0.5*(-$G36+K36-Z36))*(1+$D36*(1-F36))+0.5*(-$G36+K36-Z36))</f>
        <v>-34240.03884467586</v>
      </c>
      <c r="P36" s="84">
        <f>IF('Inputs and Results'!$I$54=TRUE,(P35+0.5*(-$G36+L36*(1-E36)))*(1+$D36*(1-F36))+0.5*(-$G36+L36*(1-E36)),(P35+0.5*(-$G36+L36-AA36))*(1+$D36*(1-F36))+0.5*(-$G36+L36-AA36))</f>
        <v>-19235.85718670069</v>
      </c>
      <c r="Q36" s="47"/>
      <c r="R36" s="85">
        <f>IF('Inputs and Results'!$I$54=TRUE,0,$X$3*J36)</f>
        <v>8390.853044629614</v>
      </c>
      <c r="S36" s="86">
        <f t="shared" si="10"/>
        <v>146366.75453228317</v>
      </c>
      <c r="T36" s="86">
        <f>IF('Inputs and Results'!$I$54=TRUE,0,K36*$X$5)</f>
        <v>5531.64708</v>
      </c>
      <c r="U36" s="86">
        <f t="shared" si="10"/>
        <v>132759.52991999997</v>
      </c>
      <c r="V36" s="85">
        <f>IF('Inputs and Results'!$I$54=TRUE,0,IF(L36&gt;12*$X$4,12*$X$4,L36))</f>
        <v>5536.68</v>
      </c>
      <c r="W36" s="86">
        <f t="shared" si="11"/>
        <v>132880.31999999992</v>
      </c>
      <c r="X36" s="47"/>
      <c r="Y36" s="86">
        <f>IF('Inputs and Results'!$I$54=TRUE,0,IF(S36&lt;$M$7,(J36-R36)*E36,J36*E36))</f>
        <v>5394.119814404751</v>
      </c>
      <c r="Z36" s="86">
        <f>IF('Inputs and Results'!$I$54=TRUE,0,IF(U36&lt;$M$7,(K36-T36)*E36,K36*E36))</f>
        <v>3550.986</v>
      </c>
      <c r="AA36" s="86">
        <f>IF('Inputs and Results'!$I$54=TRUE,0,IF(W36&lt;$M$7,(L36-V36)*E36,L36*E36))</f>
        <v>6740.268827454632</v>
      </c>
      <c r="AE36" s="2"/>
      <c r="AH36" s="2"/>
      <c r="AI36" s="2"/>
    </row>
    <row r="37" spans="1:35" ht="12.75">
      <c r="A37" s="47">
        <v>25</v>
      </c>
      <c r="B37" s="47">
        <f t="shared" si="8"/>
        <v>94</v>
      </c>
      <c r="C37" s="82">
        <f t="shared" si="1"/>
        <v>0.05</v>
      </c>
      <c r="D37" s="82">
        <f t="shared" si="2"/>
        <v>0.026000000000000002</v>
      </c>
      <c r="E37" s="82">
        <f t="shared" si="3"/>
        <v>0.45</v>
      </c>
      <c r="F37" s="82">
        <f t="shared" si="4"/>
        <v>0.35</v>
      </c>
      <c r="G37" s="84">
        <f t="shared" si="5"/>
        <v>13370.83409499976</v>
      </c>
      <c r="H37" s="47"/>
      <c r="I37" s="47">
        <f t="shared" si="0"/>
        <v>94</v>
      </c>
      <c r="J37" s="84">
        <f t="shared" si="6"/>
        <v>12346.540908526431</v>
      </c>
      <c r="K37" s="84">
        <f t="shared" si="7"/>
        <v>7891.08</v>
      </c>
      <c r="L37" s="84">
        <f t="shared" si="9"/>
        <v>15727.293930727474</v>
      </c>
      <c r="M37" s="84">
        <f>IF('Inputs and Results'!I79=TRUE,(M36-0.5*G37/(1-E37))*(1+D37)-0.5*G37/(1-E37),IF('Inputs and Results'!$I$54=TRUE,(M36-0.5*G37/(1-E37))*(1+D37)-0.5*G37/(1-E36),(M36-0.5*G37)*(1+D37*(1-F37))-0.5*G37))</f>
        <v>-64062.31355560006</v>
      </c>
      <c r="N37" s="84">
        <f>IF('Inputs and Results'!$I$54=TRUE,(N36+0.5*(-G37+J37*(1-E37)))*(1+D37*(1-F37))+0.5*(-G37+J37*(1-E37)),(N36+0.5*(-G37+J37-Y37))*(1+D37*(1-F37))+0.5*(-G37+J37-Y37))</f>
        <v>-34369.749209790105</v>
      </c>
      <c r="O37" s="84">
        <f>IF('Inputs and Results'!$I$54=TRUE,(O36+0.5*(-$G37+K37*(1-E37)))*(1+$D37*(1-F37))+0.5*(-$G37+K37*(1-E37)),(O36+0.5*(-$G37+K37-Z37))*(1+$D37*(1-F37))+0.5*(-$G37+K37-Z37))</f>
        <v>-43925.74534995339</v>
      </c>
      <c r="P37" s="84">
        <f>IF('Inputs and Results'!$I$54=TRUE,(P36+0.5*(-$G37+L37*(1-E37)))*(1+$D37*(1-F37))+0.5*(-$G37+L37*(1-E37)),(P36+0.5*(-$G37+L37-AA37))*(1+$D37*(1-F37))+0.5*(-$G37+L37-AA37))</f>
        <v>-24321.656555815276</v>
      </c>
      <c r="Q37" s="47"/>
      <c r="R37" s="85">
        <f>IF('Inputs and Results'!$I$54=TRUE,0,$X$3*J37)</f>
        <v>8642.5786359685</v>
      </c>
      <c r="S37" s="86">
        <f t="shared" si="10"/>
        <v>155009.33316825167</v>
      </c>
      <c r="T37" s="86">
        <f>IF('Inputs and Results'!$I$54=TRUE,0,K37*$X$5)</f>
        <v>5531.64708</v>
      </c>
      <c r="U37" s="86">
        <f t="shared" si="10"/>
        <v>138291.17699999997</v>
      </c>
      <c r="V37" s="85">
        <f>IF('Inputs and Results'!$I$54=TRUE,0,IF(L37&gt;12*$X$4,12*$X$4,L37))</f>
        <v>5536.68</v>
      </c>
      <c r="W37" s="86">
        <f t="shared" si="11"/>
        <v>138416.9999999999</v>
      </c>
      <c r="X37" s="47"/>
      <c r="Y37" s="86">
        <f>IF('Inputs and Results'!$I$54=TRUE,0,IF(S37&lt;$M$7,(J37-R37)*E37,J37*E37))</f>
        <v>5555.943408836894</v>
      </c>
      <c r="Z37" s="86">
        <f>IF('Inputs and Results'!$I$54=TRUE,0,IF(U37&lt;$M$7,(K37-T37)*E37,K37*E37))</f>
        <v>3550.986</v>
      </c>
      <c r="AA37" s="86">
        <f>IF('Inputs and Results'!$I$54=TRUE,0,IF(W37&lt;$M$7,(L37-V37)*E37,L37*E37))</f>
        <v>7077.282268827364</v>
      </c>
      <c r="AE37" s="2"/>
      <c r="AH37" s="2"/>
      <c r="AI37" s="2"/>
    </row>
    <row r="38" spans="1:35" ht="12.75">
      <c r="A38" s="47">
        <v>26</v>
      </c>
      <c r="B38" s="47">
        <f t="shared" si="8"/>
        <v>95</v>
      </c>
      <c r="C38" s="82">
        <f t="shared" si="1"/>
        <v>0.05</v>
      </c>
      <c r="D38" s="82">
        <f t="shared" si="2"/>
        <v>0.026000000000000002</v>
      </c>
      <c r="E38" s="82">
        <f t="shared" si="3"/>
        <v>0.45</v>
      </c>
      <c r="F38" s="82">
        <f t="shared" si="4"/>
        <v>0.35</v>
      </c>
      <c r="G38" s="84">
        <f t="shared" si="5"/>
        <v>9406.381785832333</v>
      </c>
      <c r="H38" s="47"/>
      <c r="I38" s="47">
        <f t="shared" si="0"/>
        <v>95</v>
      </c>
      <c r="J38" s="84">
        <f t="shared" si="6"/>
        <v>8520.34788097409</v>
      </c>
      <c r="K38" s="84">
        <f t="shared" si="7"/>
        <v>5287.0236</v>
      </c>
      <c r="L38" s="84">
        <f t="shared" si="9"/>
        <v>11064.151280266778</v>
      </c>
      <c r="M38" s="84">
        <f>IF('Inputs and Results'!I80=TRUE,(M37-0.5*G38/(1-E38))*(1+D38)-0.5*G38/(1-E38),IF('Inputs and Results'!$I$54=TRUE,(M37-0.5*G38/(1-E38))*(1+D38)-0.5*G38/(1-E37),(M37-0.5*G38)*(1+D38*(1-F38))-0.5*G38))</f>
        <v>-74630.83236661233</v>
      </c>
      <c r="N38" s="84">
        <f>IF('Inputs and Results'!$I$54=TRUE,(N37+0.5*(-G38+J38*(1-E38)))*(1+D38*(1-F38))+0.5*(-G38+J38*(1-E38)),(N37+0.5*(-G38+J38-Y38))*(1+D38*(1-F38))+0.5*(-G38+J38-Y38))</f>
        <v>-39710.674032045594</v>
      </c>
      <c r="O38" s="84">
        <f>IF('Inputs and Results'!$I$54=TRUE,(O37+0.5*(-$G38+K38*(1-E38)))*(1+$D38*(1-F38))+0.5*(-$G38+K38*(1-E38)),(O37+0.5*(-$G38+K38-Z38))*(1+$D38*(1-F38))+0.5*(-$G38+K38-Z38))</f>
        <v>-51221.52173610922</v>
      </c>
      <c r="P38" s="84">
        <f>IF('Inputs and Results'!$I$54=TRUE,(P37+0.5*(-$G38+L38*(1-E38)))*(1+$D38*(1-F38))+0.5*(-$G38+L38*(1-E38)),(P37+0.5*(-$G38+L38-AA38))*(1+$D38*(1-F38))+0.5*(-$G38+L38-AA38))</f>
        <v>-28081.8544163094</v>
      </c>
      <c r="Q38" s="47"/>
      <c r="R38" s="85">
        <f>IF('Inputs and Results'!$I$54=TRUE,0,$X$3*J38)</f>
        <v>5964.243516681862</v>
      </c>
      <c r="S38" s="86">
        <f aca="true" t="shared" si="12" ref="S38:S63">R38+S37</f>
        <v>160973.57668493353</v>
      </c>
      <c r="T38" s="86">
        <f>IF('Inputs and Results'!$I$54=TRUE,0,K38*$X$5)</f>
        <v>3706.2035436</v>
      </c>
      <c r="U38" s="86">
        <f aca="true" t="shared" si="13" ref="U38:U63">T38+U37</f>
        <v>141997.38054359995</v>
      </c>
      <c r="V38" s="85">
        <f>IF('Inputs and Results'!$I$54=TRUE,0,IF(L38&gt;12*$X$4,12*$X$4,L38))</f>
        <v>5536.68</v>
      </c>
      <c r="W38" s="86">
        <f aca="true" t="shared" si="14" ref="W38:W63">V38+W37</f>
        <v>143953.6799999999</v>
      </c>
      <c r="X38" s="47"/>
      <c r="Y38" s="86">
        <f>IF('Inputs and Results'!$I$54=TRUE,0,IF(S38&lt;$M$7,(J38-R38)*E38,J38*E38))</f>
        <v>3834.1565464383407</v>
      </c>
      <c r="Z38" s="86">
        <f>IF('Inputs and Results'!$I$54=TRUE,0,IF(U38&lt;$M$7,(K38-T38)*E38,K38*E38))</f>
        <v>2379.16062</v>
      </c>
      <c r="AA38" s="86">
        <f>IF('Inputs and Results'!$I$54=TRUE,0,IF(W38&lt;$M$7,(L38-V38)*E38,L38*E38))</f>
        <v>4978.86807612005</v>
      </c>
      <c r="AE38" s="2"/>
      <c r="AH38" s="2"/>
      <c r="AI38" s="2"/>
    </row>
    <row r="39" spans="1:35" ht="12.75">
      <c r="A39" s="47">
        <v>27</v>
      </c>
      <c r="B39" s="47">
        <f t="shared" si="8"/>
        <v>96</v>
      </c>
      <c r="C39" s="82">
        <f t="shared" si="1"/>
        <v>0.05</v>
      </c>
      <c r="D39" s="82">
        <f t="shared" si="2"/>
        <v>0.026000000000000002</v>
      </c>
      <c r="E39" s="82">
        <f t="shared" si="3"/>
        <v>0.45</v>
      </c>
      <c r="F39" s="82">
        <f t="shared" si="4"/>
        <v>0.35</v>
      </c>
      <c r="G39" s="84">
        <f t="shared" si="5"/>
        <v>9876.70087512395</v>
      </c>
      <c r="H39" s="47"/>
      <c r="I39" s="47">
        <f t="shared" si="0"/>
        <v>96</v>
      </c>
      <c r="J39" s="84">
        <f t="shared" si="6"/>
        <v>8775.958317403312</v>
      </c>
      <c r="K39" s="84">
        <f t="shared" si="7"/>
        <v>5287.0236</v>
      </c>
      <c r="L39" s="84">
        <f t="shared" si="9"/>
        <v>11617.358844280117</v>
      </c>
      <c r="M39" s="84">
        <f>IF('Inputs and Results'!I81=TRUE,(M38-0.5*G39/(1-E39))*(1+D39)-0.5*G39/(1-E39),IF('Inputs and Results'!$I$54=TRUE,(M38-0.5*G39/(1-E39))*(1+D39)-0.5*G39/(1-E38),(M38-0.5*G39)*(1+D39*(1-F39))-0.5*G39))</f>
        <v>-85852.25243112684</v>
      </c>
      <c r="N39" s="84">
        <f>IF('Inputs and Results'!$I$54=TRUE,(N38+0.5*(-G39+J39*(1-E39)))*(1+D39*(1-F39))+0.5*(-G39+J39*(1-E39)),(N38+0.5*(-G39+J39-Y39))*(1+D39*(1-F39))+0.5*(-G39+J39-Y39))</f>
        <v>-45474.38007985396</v>
      </c>
      <c r="O39" s="84">
        <f>IF('Inputs and Results'!$I$54=TRUE,(O38+0.5*(-$G39+K39*(1-E39)))*(1+$D39*(1-F39))+0.5*(-$G39+K39*(1-E39)),(O38+0.5*(-$G39+K39-Z39))*(1+$D39*(1-F39))+0.5*(-$G39+K39-Z39))</f>
        <v>-59114.89002878721</v>
      </c>
      <c r="P39" s="84">
        <f>IF('Inputs and Results'!$I$54=TRUE,(P38+0.5*(-$G39+L39*(1-E39)))*(1+$D39*(1-F39))+0.5*(-$G39+L39*(1-E39)),(P38+0.5*(-$G39+L39-AA39))*(1+$D39*(1-F39))+0.5*(-$G39+L39-AA39))</f>
        <v>-32073.05771388092</v>
      </c>
      <c r="Q39" s="47"/>
      <c r="R39" s="85">
        <f>IF('Inputs and Results'!$I$54=TRUE,0,$X$3*J39)</f>
        <v>6143.170822182318</v>
      </c>
      <c r="S39" s="86">
        <f t="shared" si="12"/>
        <v>167116.74750711586</v>
      </c>
      <c r="T39" s="86">
        <f>IF('Inputs and Results'!$I$54=TRUE,0,K39*$X$5)</f>
        <v>3706.2035436</v>
      </c>
      <c r="U39" s="86">
        <f t="shared" si="13"/>
        <v>145703.58408719994</v>
      </c>
      <c r="V39" s="85">
        <f>IF('Inputs and Results'!$I$54=TRUE,0,IF(L39&gt;12*$X$4,12*$X$4,L39))</f>
        <v>5536.68</v>
      </c>
      <c r="W39" s="86">
        <f t="shared" si="14"/>
        <v>149490.3599999999</v>
      </c>
      <c r="X39" s="47"/>
      <c r="Y39" s="86">
        <f>IF('Inputs and Results'!$I$54=TRUE,0,IF(S39&lt;$M$7,(J39-R39)*E39,J39*E39))</f>
        <v>3949.1812428314906</v>
      </c>
      <c r="Z39" s="86">
        <f>IF('Inputs and Results'!$I$54=TRUE,0,IF(U39&lt;$M$7,(K39-T39)*E39,K39*E39))</f>
        <v>2379.16062</v>
      </c>
      <c r="AA39" s="86">
        <f>IF('Inputs and Results'!$I$54=TRUE,0,IF(W39&lt;$M$7,(L39-V39)*E39,L39*E39))</f>
        <v>5227.811479926053</v>
      </c>
      <c r="AE39" s="2"/>
      <c r="AH39" s="2"/>
      <c r="AI39" s="2"/>
    </row>
    <row r="40" spans="1:35" ht="12.75">
      <c r="A40" s="47">
        <v>28</v>
      </c>
      <c r="B40" s="47">
        <f t="shared" si="8"/>
        <v>97</v>
      </c>
      <c r="C40" s="82">
        <f t="shared" si="1"/>
        <v>0.05</v>
      </c>
      <c r="D40" s="82">
        <f t="shared" si="2"/>
        <v>0.026000000000000002</v>
      </c>
      <c r="E40" s="82">
        <f t="shared" si="3"/>
        <v>0.45</v>
      </c>
      <c r="F40" s="82">
        <f t="shared" si="4"/>
        <v>0.35</v>
      </c>
      <c r="G40" s="84">
        <f t="shared" si="5"/>
        <v>10370.535918880149</v>
      </c>
      <c r="H40" s="47"/>
      <c r="I40" s="47">
        <f t="shared" si="0"/>
        <v>97</v>
      </c>
      <c r="J40" s="84">
        <f t="shared" si="6"/>
        <v>9039.237066925412</v>
      </c>
      <c r="K40" s="84">
        <f t="shared" si="7"/>
        <v>5287.0236</v>
      </c>
      <c r="L40" s="84">
        <f t="shared" si="9"/>
        <v>12198.226786494124</v>
      </c>
      <c r="M40" s="84">
        <f>IF('Inputs and Results'!I82=TRUE,(M39-0.5*G40/(1-E40))*(1+D40)-0.5*G40/(1-E40),IF('Inputs and Results'!$I$54=TRUE,(M39-0.5*G40/(1-E40))*(1+D40)-0.5*G40/(1-E39),(M39-0.5*G40)*(1+D40*(1-F40))-0.5*G40))</f>
        <v>-97761.32244460755</v>
      </c>
      <c r="N40" s="84">
        <f>IF('Inputs and Results'!$I$54=TRUE,(N39+0.5*(-G40+J40*(1-E40)))*(1+D40*(1-F40))+0.5*(-G40+J40*(1-E40)),(N39+0.5*(-G40+J40-Y40))*(1+D40*(1-F40))+0.5*(-G40+J40-Y40))</f>
        <v>-51687.473809520656</v>
      </c>
      <c r="O40" s="84">
        <f>IF('Inputs and Results'!$I$54=TRUE,(O39+0.5*(-$G40+K40*(1-E40)))*(1+$D40*(1-F40))+0.5*(-$G40+K40*(1-E40)),(O39+0.5*(-$G40+K40-Z40))*(1+$D40*(1-F40))+0.5*(-$G40+K40-Z40))</f>
        <v>-67639.66419548739</v>
      </c>
      <c r="P40" s="84">
        <f>IF('Inputs and Results'!$I$54=TRUE,(P39+0.5*(-$G40+L40*(1-E40)))*(1+$D40*(1-F40))+0.5*(-$G40+L40*(1-E40)),(P39+0.5*(-$G40+L40-AA40))*(1+$D40*(1-F40))+0.5*(-$G40+L40-AA40))</f>
        <v>-36307.543345078186</v>
      </c>
      <c r="Q40" s="47"/>
      <c r="R40" s="85">
        <f>IF('Inputs and Results'!$I$54=TRUE,0,$X$3*J40)</f>
        <v>6327.4659468477885</v>
      </c>
      <c r="S40" s="86">
        <f t="shared" si="12"/>
        <v>173444.21345396363</v>
      </c>
      <c r="T40" s="86">
        <f>IF('Inputs and Results'!$I$54=TRUE,0,K40*$X$5)</f>
        <v>3706.2035436</v>
      </c>
      <c r="U40" s="86">
        <f t="shared" si="13"/>
        <v>149409.78763079992</v>
      </c>
      <c r="V40" s="85">
        <f>IF('Inputs and Results'!$I$54=TRUE,0,IF(L40&gt;12*$X$4,12*$X$4,L40))</f>
        <v>5536.68</v>
      </c>
      <c r="W40" s="86">
        <f t="shared" si="14"/>
        <v>155027.0399999999</v>
      </c>
      <c r="X40" s="47"/>
      <c r="Y40" s="86">
        <f>IF('Inputs and Results'!$I$54=TRUE,0,IF(S40&lt;$M$7,(J40-R40)*E40,J40*E40))</f>
        <v>4067.656680116436</v>
      </c>
      <c r="Z40" s="86">
        <f>IF('Inputs and Results'!$I$54=TRUE,0,IF(U40&lt;$M$7,(K40-T40)*E40,K40*E40))</f>
        <v>2379.16062</v>
      </c>
      <c r="AA40" s="86">
        <f>IF('Inputs and Results'!$I$54=TRUE,0,IF(W40&lt;$M$7,(L40-V40)*E40,L40*E40))</f>
        <v>5489.202053922356</v>
      </c>
      <c r="AE40" s="2"/>
      <c r="AH40" s="2"/>
      <c r="AI40" s="2"/>
    </row>
    <row r="41" spans="1:35" ht="12.75">
      <c r="A41" s="47">
        <v>29</v>
      </c>
      <c r="B41" s="47">
        <f t="shared" si="8"/>
        <v>98</v>
      </c>
      <c r="C41" s="82">
        <f t="shared" si="1"/>
        <v>0.05</v>
      </c>
      <c r="D41" s="82">
        <f t="shared" si="2"/>
        <v>0.026000000000000002</v>
      </c>
      <c r="E41" s="82">
        <f t="shared" si="3"/>
        <v>0.45</v>
      </c>
      <c r="F41" s="82">
        <f t="shared" si="4"/>
        <v>0.35</v>
      </c>
      <c r="G41" s="84">
        <f t="shared" si="5"/>
        <v>10889.062714824157</v>
      </c>
      <c r="H41" s="47"/>
      <c r="I41" s="47">
        <f t="shared" si="0"/>
        <v>98</v>
      </c>
      <c r="J41" s="84">
        <f t="shared" si="6"/>
        <v>9310.414178933175</v>
      </c>
      <c r="K41" s="84">
        <f t="shared" si="7"/>
        <v>5287.0236</v>
      </c>
      <c r="L41" s="84">
        <f t="shared" si="9"/>
        <v>12808.13812581883</v>
      </c>
      <c r="M41" s="84">
        <f>IF('Inputs and Results'!I83=TRUE,(M40-0.5*G41/(1-E41))*(1+D41)-0.5*G41/(1-E41),IF('Inputs and Results'!$I$54=TRUE,(M40-0.5*G41/(1-E41))*(1+D41)-0.5*G41/(1-E40),(M40-0.5*G41)*(1+D41*(1-F41))-0.5*G41))</f>
        <v>-110394.56408868583</v>
      </c>
      <c r="N41" s="84">
        <f>IF('Inputs and Results'!$I$54=TRUE,(N40+0.5*(-G41+J41*(1-E41)))*(1+D41*(1-F41))+0.5*(-G41+J41*(1-E41)),(N40+0.5*(-G41+J41-Y41))*(1+D41*(1-F41))+0.5*(-G41+J41-Y41))</f>
        <v>-58378.06946335613</v>
      </c>
      <c r="O41" s="84">
        <f>IF('Inputs and Results'!$I$54=TRUE,(O40+0.5*(-$G41+K41*(1-E41)))*(1+$D41*(1-F41))+0.5*(-$G41+K41*(1-E41)),(O40+0.5*(-$G41+K41-Z41))*(1+$D41*(1-F41))+0.5*(-$G41+K41-Z41))</f>
        <v>-76831.41539297454</v>
      </c>
      <c r="P41" s="84">
        <f>IF('Inputs and Results'!$I$54=TRUE,(P40+0.5*(-$G41+L41*(1-E41)))*(1+$D41*(1-F41))+0.5*(-$G41+L41*(1-E41)),(P40+0.5*(-$G41+L41-AA41))*(1+$D41*(1-F41))+0.5*(-$G41+L41-AA41))</f>
        <v>-40798.21433123433</v>
      </c>
      <c r="Q41" s="47"/>
      <c r="R41" s="85">
        <f>IF('Inputs and Results'!$I$54=TRUE,0,$X$3*J41)</f>
        <v>6517.2899252532225</v>
      </c>
      <c r="S41" s="86">
        <f t="shared" si="12"/>
        <v>179961.50337921685</v>
      </c>
      <c r="T41" s="86">
        <f>IF('Inputs and Results'!$I$54=TRUE,0,K41*$X$5)</f>
        <v>3706.2035436</v>
      </c>
      <c r="U41" s="86">
        <f t="shared" si="13"/>
        <v>153115.9911743999</v>
      </c>
      <c r="V41" s="85">
        <f>IF('Inputs and Results'!$I$54=TRUE,0,IF(L41&gt;12*$X$4,12*$X$4,L41))</f>
        <v>5536.68</v>
      </c>
      <c r="W41" s="86">
        <f t="shared" si="14"/>
        <v>160563.71999999988</v>
      </c>
      <c r="X41" s="47"/>
      <c r="Y41" s="86">
        <f>IF('Inputs and Results'!$I$54=TRUE,0,IF(S41&lt;$M$7,(J41-R41)*E41,J41*E41))</f>
        <v>4189.686380519929</v>
      </c>
      <c r="Z41" s="86">
        <f>IF('Inputs and Results'!$I$54=TRUE,0,IF(U41&lt;$M$7,(K41-T41)*E41,K41*E41))</f>
        <v>2379.16062</v>
      </c>
      <c r="AA41" s="86">
        <f>IF('Inputs and Results'!$I$54=TRUE,0,IF(W41&lt;$M$7,(L41-V41)*E41,L41*E41))</f>
        <v>5763.662156618474</v>
      </c>
      <c r="AE41" s="2"/>
      <c r="AH41" s="2"/>
      <c r="AI41" s="2"/>
    </row>
    <row r="42" spans="1:35" ht="12.75">
      <c r="A42" s="47">
        <v>30</v>
      </c>
      <c r="B42" s="47">
        <f t="shared" si="8"/>
        <v>99</v>
      </c>
      <c r="C42" s="82">
        <f t="shared" si="1"/>
        <v>0.05</v>
      </c>
      <c r="D42" s="82">
        <f t="shared" si="2"/>
        <v>0.026000000000000002</v>
      </c>
      <c r="E42" s="82">
        <f t="shared" si="3"/>
        <v>0.45</v>
      </c>
      <c r="F42" s="82">
        <f t="shared" si="4"/>
        <v>0.35</v>
      </c>
      <c r="G42" s="84">
        <f t="shared" si="5"/>
        <v>11433.515850565365</v>
      </c>
      <c r="H42" s="47"/>
      <c r="I42" s="47">
        <f t="shared" si="0"/>
        <v>99</v>
      </c>
      <c r="J42" s="84">
        <f t="shared" si="6"/>
        <v>9589.726604301171</v>
      </c>
      <c r="K42" s="84">
        <f t="shared" si="7"/>
        <v>5287.0236</v>
      </c>
      <c r="L42" s="84">
        <f t="shared" si="9"/>
        <v>13448.545032109772</v>
      </c>
      <c r="M42" s="84">
        <f>IF('Inputs and Results'!I87=TRUE,(M41-0.5*G42/(1-E42))*(1+D42)-0.5*G42/(1-E42),IF('Inputs and Results'!$I$54=TRUE,(M41-0.5*G42/(1-E42))*(1+D42)-0.5*G42/(1-E41),(M41-0.5*G42)*(1+D42*(1-F42))-0.5*G42))</f>
        <v>-123790.36128128726</v>
      </c>
      <c r="N42" s="84">
        <f>IF('Inputs and Results'!$I$54=TRUE,(N41+0.5*(-G42+J42*(1-E42)))*(1+D42*(1-F42))+0.5*(-G42+J42*(1-E42)),(N41+0.5*(-G42+J42-Y42))*(1+D42*(1-F42))+0.5*(-G42+J42-Y42))</f>
        <v>-65575.87001003035</v>
      </c>
      <c r="O42" s="84">
        <f>IF('Inputs and Results'!$I$54=TRUE,(O41+0.5*(-$G42+K42*(1-E42)))*(1+$D42*(1-F42))+0.5*(-$G42+K42*(1-E42)),(O41+0.5*(-$G42+K42-Z42))*(1+$D42*(1-F42))+0.5*(-$G42+K42-Z42))</f>
        <v>-86727.56095043744</v>
      </c>
      <c r="P42" s="84">
        <f>IF('Inputs and Results'!$I$54=TRUE,(P41+0.5*(-$G42+L42*(1-E42)))*(1+$D42*(1-F42))+0.5*(-$G42+L42*(1-E42)),(P41+0.5*(-$G42+L42-AA42))*(1+$D42*(1-F42))+0.5*(-$G42+L42-AA42))</f>
        <v>-45558.631332237725</v>
      </c>
      <c r="Q42" s="47"/>
      <c r="R42" s="85">
        <f>IF('Inputs and Results'!$I$54=TRUE,0,$X$3*J42)</f>
        <v>6712.808623010819</v>
      </c>
      <c r="S42" s="86">
        <f t="shared" si="12"/>
        <v>186674.31200222767</v>
      </c>
      <c r="T42" s="86">
        <f>IF('Inputs and Results'!$I$54=TRUE,0,K42*$X$5)</f>
        <v>3706.2035436</v>
      </c>
      <c r="U42" s="86">
        <f t="shared" si="13"/>
        <v>156822.1947179999</v>
      </c>
      <c r="V42" s="85">
        <f>IF('Inputs and Results'!$I$54=TRUE,0,IF(L42&gt;12*$X$4,12*$X$4,L42))</f>
        <v>5536.68</v>
      </c>
      <c r="W42" s="86">
        <f t="shared" si="14"/>
        <v>166100.39999999988</v>
      </c>
      <c r="X42" s="47"/>
      <c r="Y42" s="86">
        <f>IF('Inputs and Results'!$I$54=TRUE,0,IF(S42&lt;$M$7,(J42-R42)*E42,J42*E42))</f>
        <v>4315.376971935527</v>
      </c>
      <c r="Z42" s="86">
        <f>IF('Inputs and Results'!$I$54=TRUE,0,IF(U42&lt;$M$7,(K42-T42)*E42,K42*E42))</f>
        <v>2379.16062</v>
      </c>
      <c r="AA42" s="86">
        <f>IF('Inputs and Results'!$I$54=TRUE,0,IF(W42&lt;$M$7,(L42-V42)*E42,L42*E42))</f>
        <v>6051.845264449397</v>
      </c>
      <c r="AE42" s="2"/>
      <c r="AH42" s="2"/>
      <c r="AI42" s="2"/>
    </row>
    <row r="43" spans="1:35" ht="12.75">
      <c r="A43" s="47">
        <v>31</v>
      </c>
      <c r="B43" s="47">
        <f t="shared" si="8"/>
        <v>100</v>
      </c>
      <c r="C43" s="82">
        <f t="shared" si="1"/>
        <v>0.05</v>
      </c>
      <c r="D43" s="82">
        <f t="shared" si="2"/>
        <v>0.026000000000000002</v>
      </c>
      <c r="E43" s="82">
        <f t="shared" si="3"/>
        <v>0.45</v>
      </c>
      <c r="F43" s="82">
        <f t="shared" si="4"/>
        <v>0.35</v>
      </c>
      <c r="G43" s="84">
        <f t="shared" si="5"/>
        <v>12005.191643093634</v>
      </c>
      <c r="H43" s="47"/>
      <c r="I43" s="47">
        <f t="shared" si="0"/>
        <v>100</v>
      </c>
      <c r="J43" s="84">
        <f t="shared" si="6"/>
        <v>9877.418402430207</v>
      </c>
      <c r="K43" s="84">
        <f t="shared" si="7"/>
        <v>5287.0236</v>
      </c>
      <c r="L43" s="84">
        <f t="shared" si="9"/>
        <v>14120.972283715262</v>
      </c>
      <c r="M43" s="84">
        <f>IF('Inputs and Results'!I88=TRUE,(M42-0.5*G43/(1-E43))*(1+D43)-0.5*G43/(1-E43),IF('Inputs and Results'!$I$54=TRUE,(M42-0.5*G43/(1-E43))*(1+D43)-0.5*G43/(1-E42),(M42-0.5*G43)*(1+D43*(1-F43))-0.5*G43))</f>
        <v>-137989.0538994188</v>
      </c>
      <c r="N43" s="84">
        <f>IF('Inputs and Results'!$I$54=TRUE,(N42+0.5*(-G43+J43*(1-E43)))*(1+D43*(1-F43))+0.5*(-G43+J43*(1-E43)),(N42+0.5*(-G43+J43-Y43))*(1+D43*(1-F43))+0.5*(-G43+J43-Y43))</f>
        <v>-73312.25230231574</v>
      </c>
      <c r="O43" s="84">
        <f>IF('Inputs and Results'!$I$54=TRUE,(O42+0.5*(-$G43+K43*(1-E43)))*(1+$D43*(1-F43))+0.5*(-$G43+K43*(1-E43)),(O42+0.5*(-$G43+K43-Z43))*(1+$D43*(1-F43))+0.5*(-$G43+K43-Z43))</f>
        <v>-97367.45782079661</v>
      </c>
      <c r="P43" s="84">
        <f>IF('Inputs and Results'!$I$54=TRUE,(P42+0.5*(-$G43+L43*(1-E43)))*(1+$D43*(1-F43))+0.5*(-$G43+L43*(1-E43)),(P42+0.5*(-$G43+L43-AA43))*(1+$D43*(1-F43))+0.5*(-$G43+L43-AA43))</f>
        <v>-50603.04573949835</v>
      </c>
      <c r="Q43" s="47"/>
      <c r="R43" s="85">
        <f>IF('Inputs and Results'!$I$54=TRUE,0,$X$3*J43)</f>
        <v>6914.192881701144</v>
      </c>
      <c r="S43" s="86">
        <f t="shared" si="12"/>
        <v>193588.5048839288</v>
      </c>
      <c r="T43" s="86">
        <f>IF('Inputs and Results'!$I$54=TRUE,0,K43*$X$5)</f>
        <v>3706.2035436</v>
      </c>
      <c r="U43" s="86">
        <f t="shared" si="13"/>
        <v>160528.39826159988</v>
      </c>
      <c r="V43" s="85">
        <f>IF('Inputs and Results'!$I$54=TRUE,0,IF(L43&gt;12*$X$4,12*$X$4,L43))</f>
        <v>5536.68</v>
      </c>
      <c r="W43" s="86">
        <f t="shared" si="14"/>
        <v>171637.07999999987</v>
      </c>
      <c r="X43" s="47"/>
      <c r="Y43" s="86">
        <f>IF('Inputs and Results'!$I$54=TRUE,0,IF(S43&lt;$M$7,(J43-R43)*E43,J43*E43))</f>
        <v>4444.838281093593</v>
      </c>
      <c r="Z43" s="86">
        <f>IF('Inputs and Results'!$I$54=TRUE,0,IF(U43&lt;$M$7,(K43-T43)*E43,K43*E43))</f>
        <v>2379.16062</v>
      </c>
      <c r="AA43" s="86">
        <f>IF('Inputs and Results'!$I$54=TRUE,0,IF(W43&lt;$M$7,(L43-V43)*E43,L43*E43))</f>
        <v>6354.437527671868</v>
      </c>
      <c r="AE43" s="2"/>
      <c r="AH43" s="2"/>
      <c r="AI43" s="2"/>
    </row>
    <row r="44" spans="1:35" ht="12.75">
      <c r="A44" s="47">
        <v>32</v>
      </c>
      <c r="B44" s="47">
        <f t="shared" si="8"/>
        <v>101</v>
      </c>
      <c r="C44" s="82">
        <f t="shared" si="1"/>
        <v>0.05</v>
      </c>
      <c r="D44" s="82">
        <f t="shared" si="2"/>
        <v>0.026000000000000002</v>
      </c>
      <c r="E44" s="82">
        <f t="shared" si="3"/>
        <v>0.45</v>
      </c>
      <c r="F44" s="82">
        <f t="shared" si="4"/>
        <v>0.35</v>
      </c>
      <c r="G44" s="84">
        <f t="shared" si="5"/>
        <v>12605.451225248316</v>
      </c>
      <c r="H44" s="47"/>
      <c r="I44" s="47">
        <f aca="true" t="shared" si="15" ref="I44:I63">B44</f>
        <v>101</v>
      </c>
      <c r="J44" s="84">
        <f t="shared" si="6"/>
        <v>10173.740954503113</v>
      </c>
      <c r="K44" s="84">
        <f t="shared" si="7"/>
        <v>5287.0236</v>
      </c>
      <c r="L44" s="84">
        <f t="shared" si="9"/>
        <v>14827.020897901026</v>
      </c>
      <c r="M44" s="84">
        <f>IF('Inputs and Results'!I89=TRUE,(M43-0.5*G44/(1-E44))*(1+D44)-0.5*G44/(1-E44),IF('Inputs and Results'!$I$54=TRUE,(M43-0.5*G44/(1-E44))*(1+D44)-0.5*G44/(1-E43),(M43-0.5*G44)*(1+D44*(1-F44))-0.5*G44))</f>
        <v>-153033.03619842065</v>
      </c>
      <c r="N44" s="84">
        <f>IF('Inputs and Results'!$I$54=TRUE,(N43+0.5*(-G44+J44*(1-E44)))*(1+D44*(1-F44))+0.5*(-G44+J44*(1-E44)),(N43+0.5*(-G44+J44-Y44))*(1+D44*(1-F44))+0.5*(-G44+J44-Y44))</f>
        <v>-81620.35666826378</v>
      </c>
      <c r="O44" s="84">
        <f>IF('Inputs and Results'!$I$54=TRUE,(O43+0.5*(-$G44+K44*(1-E44)))*(1+$D44*(1-F44))+0.5*(-$G44+K44*(1-E44)),(O43+0.5*(-$G44+K44-Z44))*(1+$D44*(1-F44))+0.5*(-$G44+K44-Z44))</f>
        <v>-108792.50072388872</v>
      </c>
      <c r="P44" s="84">
        <f>IF('Inputs and Results'!$I$54=TRUE,(P43+0.5*(-$G44+L44*(1-E44)))*(1+$D44*(1-F44))+0.5*(-$G44+L44*(1-E44)),(P43+0.5*(-$G44+L44-AA44))*(1+$D44*(1-F44))+0.5*(-$G44+L44-AA44))</f>
        <v>-55946.43442712898</v>
      </c>
      <c r="Q44" s="47"/>
      <c r="R44" s="85">
        <f>IF('Inputs and Results'!$I$54=TRUE,0,$X$3*J44)</f>
        <v>7121.6186681521785</v>
      </c>
      <c r="S44" s="86">
        <f t="shared" si="12"/>
        <v>200710.12355208097</v>
      </c>
      <c r="T44" s="86">
        <f>IF('Inputs and Results'!$I$54=TRUE,0,K44*$X$5)</f>
        <v>3706.2035436</v>
      </c>
      <c r="U44" s="86">
        <f t="shared" si="13"/>
        <v>164234.60180519987</v>
      </c>
      <c r="V44" s="85">
        <f>IF('Inputs and Results'!$I$54=TRUE,0,IF(L44&gt;12*$X$4,12*$X$4,L44))</f>
        <v>5536.68</v>
      </c>
      <c r="W44" s="86">
        <f t="shared" si="14"/>
        <v>177173.75999999986</v>
      </c>
      <c r="X44" s="47"/>
      <c r="Y44" s="86">
        <f>IF('Inputs and Results'!$I$54=TRUE,0,IF(S44&lt;$M$7,(J44-R44)*E44,J44*E44))</f>
        <v>4578.183429526401</v>
      </c>
      <c r="Z44" s="86">
        <f>IF('Inputs and Results'!$I$54=TRUE,0,IF(U44&lt;$M$7,(K44-T44)*E44,K44*E44))</f>
        <v>2379.16062</v>
      </c>
      <c r="AA44" s="86">
        <f>IF('Inputs and Results'!$I$54=TRUE,0,IF(W44&lt;$M$7,(L44-V44)*E44,L44*E44))</f>
        <v>6672.159404055462</v>
      </c>
      <c r="AE44" s="2"/>
      <c r="AH44" s="2"/>
      <c r="AI44" s="2"/>
    </row>
    <row r="45" spans="1:35" ht="12.75">
      <c r="A45" s="47">
        <v>33</v>
      </c>
      <c r="B45" s="47">
        <f t="shared" si="8"/>
        <v>102</v>
      </c>
      <c r="C45" s="82">
        <f t="shared" si="1"/>
        <v>0.05</v>
      </c>
      <c r="D45" s="82">
        <f t="shared" si="2"/>
        <v>0.026000000000000002</v>
      </c>
      <c r="E45" s="82">
        <f t="shared" si="3"/>
        <v>0.45</v>
      </c>
      <c r="F45" s="82">
        <f t="shared" si="4"/>
        <v>0.35</v>
      </c>
      <c r="G45" s="84">
        <f t="shared" si="5"/>
        <v>13235.723786510733</v>
      </c>
      <c r="H45" s="47"/>
      <c r="I45" s="47">
        <f t="shared" si="15"/>
        <v>102</v>
      </c>
      <c r="J45" s="84">
        <f t="shared" si="6"/>
        <v>10478.953183138206</v>
      </c>
      <c r="K45" s="84">
        <f t="shared" si="7"/>
        <v>5287.0236</v>
      </c>
      <c r="L45" s="84">
        <f t="shared" si="9"/>
        <v>15568.371942796079</v>
      </c>
      <c r="M45" s="84">
        <f>IF('Inputs and Results'!I90=TRUE,(M44-0.5*G45/(1-E45))*(1+D45)-0.5*G45/(1-E45),IF('Inputs and Results'!$I$54=TRUE,(M44-0.5*G45/(1-E45))*(1+D45)-0.5*G45/(1-E44),(M44-0.5*G45)*(1+D45*(1-F45))-0.5*G45))</f>
        <v>-168966.86016268074</v>
      </c>
      <c r="N45" s="84">
        <f>IF('Inputs and Results'!$I$54=TRUE,(N44+0.5*(-G45+J45*(1-E45)))*(1+D45*(1-F45))+0.5*(-G45+J45*(1-E45)),(N44+0.5*(-G45+J45-Y45))*(1+D45*(1-F45))+0.5*(-G45+J45-Y45))</f>
        <v>-90535.18116281953</v>
      </c>
      <c r="O45" s="84">
        <f>IF('Inputs and Results'!$I$54=TRUE,(O44+0.5*(-$G45+K45*(1-E45)))*(1+$D45*(1-F45))+0.5*(-$G45+K45*(1-E45)),(O44+0.5*(-$G45+K45-Z45))*(1+$D45*(1-F45))+0.5*(-$G45+K45-Z45))</f>
        <v>-121046.22521644818</v>
      </c>
      <c r="P45" s="84">
        <f>IF('Inputs and Results'!$I$54=TRUE,(P44+0.5*(-$G45+L45*(1-E45)))*(1+$D45*(1-F45))+0.5*(-$G45+L45*(1-E45)),(P44+0.5*(-$G45+L45-AA45))*(1+$D45*(1-F45))+0.5*(-$G45+L45-AA45))</f>
        <v>-61604.536244312214</v>
      </c>
      <c r="Q45" s="47"/>
      <c r="R45" s="85">
        <f>IF('Inputs and Results'!$I$54=TRUE,0,$X$3*J45)</f>
        <v>7335.267228196744</v>
      </c>
      <c r="S45" s="86">
        <f t="shared" si="12"/>
        <v>208045.39078027772</v>
      </c>
      <c r="T45" s="86">
        <f>IF('Inputs and Results'!$I$54=TRUE,0,K45*$X$5)</f>
        <v>3706.2035436</v>
      </c>
      <c r="U45" s="86">
        <f t="shared" si="13"/>
        <v>167940.80534879985</v>
      </c>
      <c r="V45" s="85">
        <f>IF('Inputs and Results'!$I$54=TRUE,0,IF(L45&gt;12*$X$4,12*$X$4,L45))</f>
        <v>5536.68</v>
      </c>
      <c r="W45" s="86">
        <f t="shared" si="14"/>
        <v>182710.43999999986</v>
      </c>
      <c r="X45" s="47"/>
      <c r="Y45" s="86">
        <f>IF('Inputs and Results'!$I$54=TRUE,0,IF(S45&lt;$M$7,(J45-R45)*E45,J45*E45))</f>
        <v>4715.528932412193</v>
      </c>
      <c r="Z45" s="86">
        <f>IF('Inputs and Results'!$I$54=TRUE,0,IF(U45&lt;$M$7,(K45-T45)*E45,K45*E45))</f>
        <v>2379.16062</v>
      </c>
      <c r="AA45" s="86">
        <f>IF('Inputs and Results'!$I$54=TRUE,0,IF(W45&lt;$M$7,(L45-V45)*E45,L45*E45))</f>
        <v>7005.767374258236</v>
      </c>
      <c r="AE45" s="2"/>
      <c r="AH45" s="2"/>
      <c r="AI45" s="2"/>
    </row>
    <row r="46" spans="1:35" ht="12.75">
      <c r="A46" s="47">
        <v>34</v>
      </c>
      <c r="B46" s="47">
        <f t="shared" si="8"/>
        <v>103</v>
      </c>
      <c r="C46" s="82">
        <f t="shared" si="1"/>
        <v>0.05</v>
      </c>
      <c r="D46" s="82">
        <f t="shared" si="2"/>
        <v>0.026000000000000002</v>
      </c>
      <c r="E46" s="82">
        <f t="shared" si="3"/>
        <v>0.45</v>
      </c>
      <c r="F46" s="82">
        <f t="shared" si="4"/>
        <v>0.35</v>
      </c>
      <c r="G46" s="84">
        <f aca="true" t="shared" si="16" ref="G46:G63">G45*(1+C45)*IF(B46=$J$4,$J$5,1)</f>
        <v>13897.50997583627</v>
      </c>
      <c r="H46" s="47"/>
      <c r="I46" s="47">
        <f t="shared" si="15"/>
        <v>103</v>
      </c>
      <c r="J46" s="84">
        <f aca="true" t="shared" si="17" ref="J46:J63">J45*(1+$Z$3)*IF(B46=$J$4,$J$5,1)</f>
        <v>10793.321778632353</v>
      </c>
      <c r="K46" s="84">
        <f aca="true" t="shared" si="18" ref="K46:K63">$K$13*IF(B46&gt;$J$4-1,$J$5,1)</f>
        <v>5287.0236</v>
      </c>
      <c r="L46" s="84">
        <f t="shared" si="9"/>
        <v>16346.790539935882</v>
      </c>
      <c r="M46" s="84">
        <f>IF('Inputs and Results'!I91=TRUE,(M45-0.5*G46/(1-E46))*(1+D46)-0.5*G46/(1-E46),IF('Inputs and Results'!$I$54=TRUE,(M45-0.5*G46/(1-E46))*(1+D46)-0.5*G46/(1-E45),(M45-0.5*G46)*(1+D46*(1-F46))-0.5*G46))</f>
        <v>-185837.3440345621</v>
      </c>
      <c r="N46" s="84">
        <f>IF('Inputs and Results'!$I$54=TRUE,(N45+0.5*(-G46+J46*(1-E46)))*(1+D46*(1-F46))+0.5*(-G46+J46*(1-E46)),(N45+0.5*(-G46+J46-Y46))*(1+D46*(1-F46))+0.5*(-G46+J46-Y46))</f>
        <v>-100093.68071838927</v>
      </c>
      <c r="O46" s="84">
        <f>IF('Inputs and Results'!$I$54=TRUE,(O45+0.5*(-$G46+K46*(1-E46)))*(1+$D46*(1-F46))+0.5*(-$G46+K46*(1-E46)),(O45+0.5*(-$G46+K46-Z46))*(1+$D46*(1-F46))+0.5*(-$G46+K46-Z46))</f>
        <v>-134174.41593555722</v>
      </c>
      <c r="P46" s="84">
        <f>IF('Inputs and Results'!$I$54=TRUE,(P45+0.5*(-$G46+L46*(1-E46)))*(1+$D46*(1-F46))+0.5*(-$G46+L46*(1-E46)),(P45+0.5*(-$G46+L46-AA46))*(1+$D46*(1-F46))+0.5*(-$G46+L46-AA46))</f>
        <v>-67593.89033597408</v>
      </c>
      <c r="Q46" s="47"/>
      <c r="R46" s="85">
        <f>IF('Inputs and Results'!$I$54=TRUE,0,$X$3*J46)</f>
        <v>7555.325245042646</v>
      </c>
      <c r="S46" s="86">
        <f t="shared" si="12"/>
        <v>215600.71602532038</v>
      </c>
      <c r="T46" s="86">
        <f>IF('Inputs and Results'!$I$54=TRUE,0,K46*$X$5)</f>
        <v>3706.2035436</v>
      </c>
      <c r="U46" s="86">
        <f t="shared" si="13"/>
        <v>171647.00889239984</v>
      </c>
      <c r="V46" s="85">
        <f>IF('Inputs and Results'!$I$54=TRUE,0,IF(L46&gt;12*$X$4,12*$X$4,L46))</f>
        <v>5536.68</v>
      </c>
      <c r="W46" s="86">
        <f t="shared" si="14"/>
        <v>188247.11999999985</v>
      </c>
      <c r="X46" s="47"/>
      <c r="Y46" s="86">
        <f>IF('Inputs and Results'!$I$54=TRUE,0,IF(S46&lt;$M$7,(J46-R46)*E46,J46*E46))</f>
        <v>4856.994800384559</v>
      </c>
      <c r="Z46" s="86">
        <f>IF('Inputs and Results'!$I$54=TRUE,0,IF(U46&lt;$M$7,(K46-T46)*E46,K46*E46))</f>
        <v>2379.16062</v>
      </c>
      <c r="AA46" s="86">
        <f>IF('Inputs and Results'!$I$54=TRUE,0,IF(W46&lt;$M$7,(L46-V46)*E46,L46*E46))</f>
        <v>7356.055742971147</v>
      </c>
      <c r="AE46" s="2"/>
      <c r="AH46" s="2"/>
      <c r="AI46" s="2"/>
    </row>
    <row r="47" spans="1:35" ht="12.75">
      <c r="A47" s="47">
        <v>35</v>
      </c>
      <c r="B47" s="47">
        <f t="shared" si="8"/>
        <v>104</v>
      </c>
      <c r="C47" s="82">
        <f t="shared" si="1"/>
        <v>0.05</v>
      </c>
      <c r="D47" s="82">
        <f t="shared" si="2"/>
        <v>0.026000000000000002</v>
      </c>
      <c r="E47" s="82">
        <f t="shared" si="3"/>
        <v>0.45</v>
      </c>
      <c r="F47" s="82">
        <f t="shared" si="4"/>
        <v>0.35</v>
      </c>
      <c r="G47" s="84">
        <f t="shared" si="16"/>
        <v>14592.385474628085</v>
      </c>
      <c r="H47" s="47"/>
      <c r="I47" s="47">
        <f t="shared" si="15"/>
        <v>104</v>
      </c>
      <c r="J47" s="84">
        <f t="shared" si="17"/>
        <v>11117.121431991323</v>
      </c>
      <c r="K47" s="84">
        <f t="shared" si="18"/>
        <v>5287.0236</v>
      </c>
      <c r="L47" s="84">
        <f t="shared" si="9"/>
        <v>17164.130066932677</v>
      </c>
      <c r="M47" s="84">
        <f>IF('Inputs and Results'!I92=TRUE,(M46-0.5*G47/(1-E47))*(1+D47)-0.5*G47/(1-E47),IF('Inputs and Results'!$I$54=TRUE,(M46-0.5*G47/(1-E47))*(1+D47)-0.5*G47/(1-E46),(M46-0.5*G47)*(1+D47*(1-F47))-0.5*G47))</f>
        <v>-203693.68628063487</v>
      </c>
      <c r="N47" s="84">
        <f>IF('Inputs and Results'!$I$54=TRUE,(N46+0.5*(-G47+J47*(1-E47)))*(1+D47*(1-F47))+0.5*(-G47+J47*(1-E47)),(N46+0.5*(-G47+J47-Y47))*(1+D47*(1-F47))+0.5*(-G47+J47-Y47))</f>
        <v>-110334.8714449683</v>
      </c>
      <c r="O47" s="84">
        <f>IF('Inputs and Results'!$I$54=TRUE,(O46+0.5*(-$G47+K47*(1-E47)))*(1+$D47*(1-F47))+0.5*(-$G47+K47*(1-E47)),(O46+0.5*(-$G47+K47-Z47))*(1+$D47*(1-F47))+0.5*(-$G47+K47-Z47))</f>
        <v>-148225.2202745758</v>
      </c>
      <c r="P47" s="84">
        <f>IF('Inputs and Results'!$I$54=TRUE,(P46+0.5*(-$G47+L47*(1-E47)))*(1+$D47*(1-F47))+0.5*(-$G47+L47*(1-E47)),(P46+0.5*(-$G47+L47-AA47))*(1+$D47*(1-F47))+0.5*(-$G47+L47-AA47))</f>
        <v>-73931.8763832417</v>
      </c>
      <c r="Q47" s="47"/>
      <c r="R47" s="85">
        <f>IF('Inputs and Results'!$I$54=TRUE,0,$X$3*J47)</f>
        <v>7781.985002393926</v>
      </c>
      <c r="S47" s="86">
        <f t="shared" si="12"/>
        <v>223382.7010277143</v>
      </c>
      <c r="T47" s="86">
        <f>IF('Inputs and Results'!$I$54=TRUE,0,K47*$X$5)</f>
        <v>3706.2035436</v>
      </c>
      <c r="U47" s="86">
        <f t="shared" si="13"/>
        <v>175353.21243599983</v>
      </c>
      <c r="V47" s="85">
        <f>IF('Inputs and Results'!$I$54=TRUE,0,IF(L47&gt;12*$X$4,12*$X$4,L47))</f>
        <v>5536.68</v>
      </c>
      <c r="W47" s="86">
        <f t="shared" si="14"/>
        <v>193783.79999999984</v>
      </c>
      <c r="X47" s="47"/>
      <c r="Y47" s="86">
        <f>IF('Inputs and Results'!$I$54=TRUE,0,IF(S47&lt;$M$7,(J47-R47)*E47,J47*E47))</f>
        <v>5002.704644396095</v>
      </c>
      <c r="Z47" s="86">
        <f>IF('Inputs and Results'!$I$54=TRUE,0,IF(U47&lt;$M$7,(K47-T47)*E47,K47*E47))</f>
        <v>2379.16062</v>
      </c>
      <c r="AA47" s="86">
        <f>IF('Inputs and Results'!$I$54=TRUE,0,IF(W47&lt;$M$7,(L47-V47)*E47,L47*E47))</f>
        <v>7723.858530119705</v>
      </c>
      <c r="AE47" s="2"/>
      <c r="AH47" s="2"/>
      <c r="AI47" s="2"/>
    </row>
    <row r="48" spans="1:35" ht="12.75">
      <c r="A48" s="47">
        <v>36</v>
      </c>
      <c r="B48" s="47">
        <f t="shared" si="8"/>
        <v>105</v>
      </c>
      <c r="C48" s="82">
        <f t="shared" si="1"/>
        <v>0.05</v>
      </c>
      <c r="D48" s="82">
        <f t="shared" si="2"/>
        <v>0.026000000000000002</v>
      </c>
      <c r="E48" s="82">
        <f t="shared" si="3"/>
        <v>0.45</v>
      </c>
      <c r="F48" s="82">
        <f t="shared" si="4"/>
        <v>0.35</v>
      </c>
      <c r="G48" s="84">
        <f t="shared" si="16"/>
        <v>15322.00474835949</v>
      </c>
      <c r="H48" s="47"/>
      <c r="I48" s="47">
        <f t="shared" si="15"/>
        <v>105</v>
      </c>
      <c r="J48" s="84">
        <f t="shared" si="17"/>
        <v>11450.635074951064</v>
      </c>
      <c r="K48" s="84">
        <f t="shared" si="18"/>
        <v>5287.0236</v>
      </c>
      <c r="L48" s="84">
        <f t="shared" si="9"/>
        <v>18022.336570279313</v>
      </c>
      <c r="M48" s="84">
        <f>IF('Inputs and Results'!I93=TRUE,(M47-0.5*G48/(1-E48))*(1+D48)-0.5*G48/(1-E48),IF('Inputs and Results'!$I$54=TRUE,(M47-0.5*G48/(1-E48))*(1+D48)-0.5*G48/(1-E47),(M47-0.5*G48)*(1+D48*(1-F48))-0.5*G48))</f>
        <v>-222587.5852672607</v>
      </c>
      <c r="N48" s="84">
        <f>IF('Inputs and Results'!$I$54=TRUE,(N47+0.5*(-G48+J48*(1-E48)))*(1+D48*(1-F48))+0.5*(-G48+J48*(1-E48)),(N47+0.5*(-G48+J48-Y48))*(1+D48*(1-F48))+0.5*(-G48+J48-Y48))</f>
        <v>-121299.94034313745</v>
      </c>
      <c r="O48" s="84">
        <f>IF('Inputs and Results'!$I$54=TRUE,(O47+0.5*(-$G48+K48*(1-E48)))*(1+$D48*(1-F48))+0.5*(-$G48+K48*(1-E48)),(O47+0.5*(-$G48+K48-Z48))*(1+$D48*(1-F48))+0.5*(-$G48+K48-Z48))</f>
        <v>-163249.26776351823</v>
      </c>
      <c r="P48" s="84">
        <f>IF('Inputs and Results'!$I$54=TRUE,(P47+0.5*(-$G48+L48*(1-E48)))*(1+$D48*(1-F48))+0.5*(-$G48+L48*(1-E48)),(P47+0.5*(-$G48+L48-AA48))*(1+$D48*(1-F48))+0.5*(-$G48+L48-AA48))</f>
        <v>-80636.75685973761</v>
      </c>
      <c r="Q48" s="47"/>
      <c r="R48" s="85">
        <f>IF('Inputs and Results'!$I$54=TRUE,0,$X$3*J48)</f>
        <v>8015.444552465744</v>
      </c>
      <c r="S48" s="86">
        <f t="shared" si="12"/>
        <v>231398.14558018005</v>
      </c>
      <c r="T48" s="86">
        <f>IF('Inputs and Results'!$I$54=TRUE,0,K48*$X$5)</f>
        <v>3706.2035436</v>
      </c>
      <c r="U48" s="86">
        <f t="shared" si="13"/>
        <v>179059.4159795998</v>
      </c>
      <c r="V48" s="85">
        <f>IF('Inputs and Results'!$I$54=TRUE,0,IF(L48&gt;12*$X$4,12*$X$4,L48))</f>
        <v>5536.68</v>
      </c>
      <c r="W48" s="86">
        <f t="shared" si="14"/>
        <v>199320.47999999984</v>
      </c>
      <c r="X48" s="47"/>
      <c r="Y48" s="86">
        <f>IF('Inputs and Results'!$I$54=TRUE,0,IF(S48&lt;$M$7,(J48-R48)*E48,J48*E48))</f>
        <v>5152.785783727979</v>
      </c>
      <c r="Z48" s="86">
        <f>IF('Inputs and Results'!$I$54=TRUE,0,IF(U48&lt;$M$7,(K48-T48)*E48,K48*E48))</f>
        <v>2379.16062</v>
      </c>
      <c r="AA48" s="86">
        <f>IF('Inputs and Results'!$I$54=TRUE,0,IF(W48&lt;$M$7,(L48-V48)*E48,L48*E48))</f>
        <v>8110.051456625691</v>
      </c>
      <c r="AE48" s="2"/>
      <c r="AH48" s="2"/>
      <c r="AI48" s="2"/>
    </row>
    <row r="49" spans="1:35" ht="12.75">
      <c r="A49" s="47">
        <v>37</v>
      </c>
      <c r="B49" s="47">
        <f t="shared" si="8"/>
        <v>106</v>
      </c>
      <c r="C49" s="82">
        <f t="shared" si="1"/>
        <v>0.05</v>
      </c>
      <c r="D49" s="82">
        <f t="shared" si="2"/>
        <v>0.026000000000000002</v>
      </c>
      <c r="E49" s="82">
        <f t="shared" si="3"/>
        <v>0.45</v>
      </c>
      <c r="F49" s="82">
        <f t="shared" si="4"/>
        <v>0.35</v>
      </c>
      <c r="G49" s="84">
        <f t="shared" si="16"/>
        <v>16088.104985777465</v>
      </c>
      <c r="H49" s="47"/>
      <c r="I49" s="47">
        <f t="shared" si="15"/>
        <v>106</v>
      </c>
      <c r="J49" s="84">
        <f t="shared" si="17"/>
        <v>11794.154127199596</v>
      </c>
      <c r="K49" s="84">
        <f t="shared" si="18"/>
        <v>5287.0236</v>
      </c>
      <c r="L49" s="84">
        <f t="shared" si="9"/>
        <v>18923.453398793277</v>
      </c>
      <c r="M49" s="84">
        <f>IF('Inputs and Results'!I94=TRUE,(M48-0.5*G49/(1-E49))*(1+D49)-0.5*G49/(1-E49),IF('Inputs and Results'!$I$54=TRUE,(M48-0.5*G49/(1-E49))*(1+D49)-0.5*G49/(1-E48),(M48-0.5*G49)*(1+D49*(1-F49))-0.5*G49))</f>
        <v>-242573.36493118468</v>
      </c>
      <c r="N49" s="84">
        <f>IF('Inputs and Results'!$I$54=TRUE,(N48+0.5*(-G49+J49*(1-E49)))*(1+D49*(1-F49))+0.5*(-G49+J49*(1-E49)),(N48+0.5*(-G49+J49-Y49))*(1+D49*(1-F49))+0.5*(-G49+J49-Y49))</f>
        <v>-133032.3607065778</v>
      </c>
      <c r="O49" s="84">
        <f>IF('Inputs and Results'!$I$54=TRUE,(O48+0.5*(-$G49+K49*(1-E49)))*(1+$D49*(1-F49))+0.5*(-$G49+K49*(1-E49)),(O48+0.5*(-$G49+K49-Z49))*(1+$D49*(1-F49))+0.5*(-$G49+K49-Z49))</f>
        <v>-179299.79543944797</v>
      </c>
      <c r="P49" s="84">
        <f>IF('Inputs and Results'!$I$54=TRUE,(P48+0.5*(-$G49+L49*(1-E49)))*(1+$D49*(1-F49))+0.5*(-$G49+L49*(1-E49)),(P48+0.5*(-$G49+L49-AA49))*(1+$D49*(1-F49))+0.5*(-$G49+L49-AA49))</f>
        <v>-87727.72140456727</v>
      </c>
      <c r="Q49" s="47"/>
      <c r="R49" s="85">
        <f>IF('Inputs and Results'!$I$54=TRUE,0,$X$3*J49)</f>
        <v>8255.907889039716</v>
      </c>
      <c r="S49" s="86">
        <f t="shared" si="12"/>
        <v>239654.05346921977</v>
      </c>
      <c r="T49" s="86">
        <f>IF('Inputs and Results'!$I$54=TRUE,0,K49*$X$5)</f>
        <v>3706.2035436</v>
      </c>
      <c r="U49" s="86">
        <f t="shared" si="13"/>
        <v>182765.6195231998</v>
      </c>
      <c r="V49" s="85">
        <f>IF('Inputs and Results'!$I$54=TRUE,0,IF(L49&gt;12*$X$4,12*$X$4,L49))</f>
        <v>5536.68</v>
      </c>
      <c r="W49" s="86">
        <f t="shared" si="14"/>
        <v>204857.15999999983</v>
      </c>
      <c r="X49" s="47"/>
      <c r="Y49" s="86">
        <f>IF('Inputs and Results'!$I$54=TRUE,0,IF(S49&lt;$M$7,(J49-R49)*E49,J49*E49))</f>
        <v>5307.369357239818</v>
      </c>
      <c r="Z49" s="86">
        <f>IF('Inputs and Results'!$I$54=TRUE,0,IF(U49&lt;$M$7,(K49-T49)*E49,K49*E49))</f>
        <v>2379.16062</v>
      </c>
      <c r="AA49" s="86">
        <f>IF('Inputs and Results'!$I$54=TRUE,0,IF(W49&lt;$M$7,(L49-V49)*E49,L49*E49))</f>
        <v>8515.554029456975</v>
      </c>
      <c r="AE49" s="2"/>
      <c r="AH49" s="2"/>
      <c r="AI49" s="2"/>
    </row>
    <row r="50" spans="1:35" ht="12.75">
      <c r="A50" s="47">
        <v>38</v>
      </c>
      <c r="B50" s="47">
        <f t="shared" si="8"/>
        <v>107</v>
      </c>
      <c r="C50" s="82">
        <f t="shared" si="1"/>
        <v>0.05</v>
      </c>
      <c r="D50" s="82">
        <f t="shared" si="2"/>
        <v>0.026000000000000002</v>
      </c>
      <c r="E50" s="82">
        <f t="shared" si="3"/>
        <v>0.45</v>
      </c>
      <c r="F50" s="82">
        <f t="shared" si="4"/>
        <v>0.35</v>
      </c>
      <c r="G50" s="84">
        <f t="shared" si="16"/>
        <v>16892.51023506634</v>
      </c>
      <c r="H50" s="47"/>
      <c r="I50" s="47">
        <f t="shared" si="15"/>
        <v>107</v>
      </c>
      <c r="J50" s="84">
        <f t="shared" si="17"/>
        <v>12147.978751015584</v>
      </c>
      <c r="K50" s="84">
        <f t="shared" si="18"/>
        <v>5287.0236</v>
      </c>
      <c r="L50" s="84">
        <f t="shared" si="9"/>
        <v>19869.62606873294</v>
      </c>
      <c r="M50" s="84">
        <f>IF('Inputs and Results'!I95=TRUE,(M49-0.5*G50/(1-E50))*(1+D50)-0.5*G50/(1-E50),IF('Inputs and Results'!$I$54=TRUE,(M49-0.5*G50/(1-E50))*(1+D50)-0.5*G50/(1-E49),(M49-0.5*G50)*(1+D50*(1-F50))-0.5*G50))</f>
        <v>-263708.1067450743</v>
      </c>
      <c r="N50" s="84">
        <f>IF('Inputs and Results'!$I$54=TRUE,(N49+0.5*(-G50+J50*(1-E50)))*(1+D50*(1-F50))+0.5*(-G50+J50*(1-E50)),(N49+0.5*(-G50+J50-Y50))*(1+D50*(1-F50))+0.5*(-G50+J50-Y50))</f>
        <v>-145578.01350476767</v>
      </c>
      <c r="O50" s="84">
        <f>IF('Inputs and Results'!$I$54=TRUE,(O49+0.5*(-$G50+K50*(1-E50)))*(1+$D50*(1-F50))+0.5*(-$G50+K50*(1-E50)),(O49+0.5*(-$G50+K50-Z50))*(1+$D50*(1-F50))+0.5*(-$G50+K50-Z50))</f>
        <v>-196432.77950674624</v>
      </c>
      <c r="P50" s="84">
        <f>IF('Inputs and Results'!$I$54=TRUE,(P49+0.5*(-$G50+L50*(1-E50)))*(1+$D50*(1-F50))+0.5*(-$G50+L50*(1-E50)),(P49+0.5*(-$G50+L50-AA50))*(1+$D50*(1-F50))+0.5*(-$G50+L50-AA50))</f>
        <v>-95224.93341789956</v>
      </c>
      <c r="Q50" s="47"/>
      <c r="R50" s="85">
        <f>IF('Inputs and Results'!$I$54=TRUE,0,$X$3*J50)</f>
        <v>8503.585125710908</v>
      </c>
      <c r="S50" s="86">
        <f t="shared" si="12"/>
        <v>248157.63859493067</v>
      </c>
      <c r="T50" s="86">
        <f>IF('Inputs and Results'!$I$54=TRUE,0,K50*$X$5)</f>
        <v>3706.2035436</v>
      </c>
      <c r="U50" s="86">
        <f t="shared" si="13"/>
        <v>186471.82306679979</v>
      </c>
      <c r="V50" s="85">
        <f>IF('Inputs and Results'!$I$54=TRUE,0,IF(L50&gt;12*$X$4,12*$X$4,L50))</f>
        <v>5536.68</v>
      </c>
      <c r="W50" s="86">
        <f t="shared" si="14"/>
        <v>210393.83999999982</v>
      </c>
      <c r="X50" s="47"/>
      <c r="Y50" s="86">
        <f>IF('Inputs and Results'!$I$54=TRUE,0,IF(S50&lt;$M$7,(J50-R50)*E50,J50*E50))</f>
        <v>5466.590437957013</v>
      </c>
      <c r="Z50" s="86">
        <f>IF('Inputs and Results'!$I$54=TRUE,0,IF(U50&lt;$M$7,(K50-T50)*E50,K50*E50))</f>
        <v>2379.16062</v>
      </c>
      <c r="AA50" s="86">
        <f>IF('Inputs and Results'!$I$54=TRUE,0,IF(W50&lt;$M$7,(L50-V50)*E50,L50*E50))</f>
        <v>8941.331730929824</v>
      </c>
      <c r="AE50" s="2"/>
      <c r="AH50" s="2"/>
      <c r="AI50" s="2"/>
    </row>
    <row r="51" spans="1:35" ht="12.75">
      <c r="A51" s="47">
        <v>39</v>
      </c>
      <c r="B51" s="47">
        <f t="shared" si="8"/>
        <v>108</v>
      </c>
      <c r="C51" s="82">
        <f t="shared" si="1"/>
        <v>0.05</v>
      </c>
      <c r="D51" s="82">
        <f t="shared" si="2"/>
        <v>0.026000000000000002</v>
      </c>
      <c r="E51" s="82">
        <f t="shared" si="3"/>
        <v>0.45</v>
      </c>
      <c r="F51" s="82">
        <f t="shared" si="4"/>
        <v>0.35</v>
      </c>
      <c r="G51" s="84">
        <f t="shared" si="16"/>
        <v>17737.13574681966</v>
      </c>
      <c r="H51" s="47"/>
      <c r="I51" s="47">
        <f t="shared" si="15"/>
        <v>108</v>
      </c>
      <c r="J51" s="84">
        <f t="shared" si="17"/>
        <v>12512.418113546051</v>
      </c>
      <c r="K51" s="84">
        <f t="shared" si="18"/>
        <v>5287.0236</v>
      </c>
      <c r="L51" s="84">
        <f t="shared" si="9"/>
        <v>20863.10737216959</v>
      </c>
      <c r="M51" s="84">
        <f>IF('Inputs and Results'!I96=TRUE,(M50-0.5*G51/(1-E51))*(1+D51)-0.5*G51/(1-E51),IF('Inputs and Results'!$I$54=TRUE,(M50-0.5*G51/(1-E51))*(1+D51)-0.5*G51/(1-E50),(M50-0.5*G51)*(1+D51*(1-F51))-0.5*G51))</f>
        <v>-286051.78829294635</v>
      </c>
      <c r="N51" s="84">
        <f>IF('Inputs and Results'!$I$54=TRUE,(N50+0.5*(-G51+J51*(1-E51)))*(1+D51*(1-F51))+0.5*(-G51+J51*(1-E51)),(N50+0.5*(-G51+J51-Y51))*(1+D51*(1-F51))+0.5*(-G51+J51-Y51))</f>
        <v>-158985.3150512455</v>
      </c>
      <c r="O51" s="84">
        <f>IF('Inputs and Results'!$I$54=TRUE,(O50+0.5*(-$G51+K51*(1-E51)))*(1+$D51*(1-F51))+0.5*(-$G51+K51*(1-E51)),(O50+0.5*(-$G51+K51-Z51))*(1+$D51*(1-F51))+0.5*(-$G51+K51-Z51))</f>
        <v>-214707.0736021095</v>
      </c>
      <c r="P51" s="84">
        <f>IF('Inputs and Results'!$I$54=TRUE,(P50+0.5*(-$G51+L51*(1-E51)))*(1+$D51*(1-F51))+0.5*(-$G51+L51*(1-E51)),(P50+0.5*(-$G51+L51-AA51))*(1+$D51*(1-F51))+0.5*(-$G51+L51-AA51))</f>
        <v>-103149.5789903369</v>
      </c>
      <c r="Q51" s="47"/>
      <c r="R51" s="85">
        <f>IF('Inputs and Results'!$I$54=TRUE,0,$X$3*J51)</f>
        <v>8758.692679482236</v>
      </c>
      <c r="S51" s="86">
        <f t="shared" si="12"/>
        <v>256916.33127441292</v>
      </c>
      <c r="T51" s="86">
        <f>IF('Inputs and Results'!$I$54=TRUE,0,K51*$X$5)</f>
        <v>3706.2035436</v>
      </c>
      <c r="U51" s="86">
        <f t="shared" si="13"/>
        <v>190178.02661039977</v>
      </c>
      <c r="V51" s="85">
        <f>IF('Inputs and Results'!$I$54=TRUE,0,IF(L51&gt;12*$X$4,12*$X$4,L51))</f>
        <v>5536.68</v>
      </c>
      <c r="W51" s="86">
        <f t="shared" si="14"/>
        <v>215930.51999999981</v>
      </c>
      <c r="X51" s="47"/>
      <c r="Y51" s="86">
        <f>IF('Inputs and Results'!$I$54=TRUE,0,IF(S51&lt;$M$7,(J51-R51)*E51,J51*E51))</f>
        <v>5630.588151095723</v>
      </c>
      <c r="Z51" s="86">
        <f>IF('Inputs and Results'!$I$54=TRUE,0,IF(U51&lt;$M$7,(K51-T51)*E51,K51*E51))</f>
        <v>2379.16062</v>
      </c>
      <c r="AA51" s="86">
        <f>IF('Inputs and Results'!$I$54=TRUE,0,IF(W51&lt;$M$7,(L51-V51)*E51,L51*E51))</f>
        <v>9388.398317476316</v>
      </c>
      <c r="AE51" s="2"/>
      <c r="AH51" s="2"/>
      <c r="AI51" s="2"/>
    </row>
    <row r="52" spans="1:35" ht="12.75">
      <c r="A52" s="47">
        <v>40</v>
      </c>
      <c r="B52" s="47">
        <f t="shared" si="8"/>
        <v>109</v>
      </c>
      <c r="C52" s="82">
        <f t="shared" si="1"/>
        <v>0.05</v>
      </c>
      <c r="D52" s="82">
        <f t="shared" si="2"/>
        <v>0.026000000000000002</v>
      </c>
      <c r="E52" s="82">
        <f t="shared" si="3"/>
        <v>0.45</v>
      </c>
      <c r="F52" s="82">
        <f t="shared" si="4"/>
        <v>0.35</v>
      </c>
      <c r="G52" s="84">
        <f t="shared" si="16"/>
        <v>18623.992534160643</v>
      </c>
      <c r="H52" s="47"/>
      <c r="I52" s="47">
        <f t="shared" si="15"/>
        <v>109</v>
      </c>
      <c r="J52" s="84">
        <f t="shared" si="17"/>
        <v>12887.790656952433</v>
      </c>
      <c r="K52" s="84">
        <f t="shared" si="18"/>
        <v>5287.0236</v>
      </c>
      <c r="L52" s="84">
        <f t="shared" si="9"/>
        <v>21906.26274077807</v>
      </c>
      <c r="M52" s="84">
        <f>IF('Inputs and Results'!I97=TRUE,(M51-0.5*G52/(1-E52))*(1+D52)-0.5*G52/(1-E52),IF('Inputs and Results'!$I$54=TRUE,(M51-0.5*G52/(1-E52))*(1+D52)-0.5*G52/(1-E51),(M51-0.5*G52)*(1+D52*(1-F52))-0.5*G52))</f>
        <v>-309667.42878617137</v>
      </c>
      <c r="N52" s="84">
        <f>IF('Inputs and Results'!$I$54=TRUE,(N51+0.5*(-G52+J52*(1-E52)))*(1+D52*(1-F52))+0.5*(-G52+J52*(1-E52)),(N51+0.5*(-G52+J52-Y52))*(1+D52*(1-F52))+0.5*(-G52+J52-Y52))</f>
        <v>-173305.35127828378</v>
      </c>
      <c r="O52" s="84">
        <f>IF('Inputs and Results'!$I$54=TRUE,(O51+0.5*(-$G52+K52*(1-E52)))*(1+$D52*(1-F52))+0.5*(-$G52+K52*(1-E52)),(O51+0.5*(-$G52+K52-Z52))*(1+$D52*(1-F52))+0.5*(-$G52+K52-Z52))</f>
        <v>-234184.55399487843</v>
      </c>
      <c r="P52" s="84">
        <f>IF('Inputs and Results'!$I$54=TRUE,(P51+0.5*(-$G52+L52*(1-E52)))*(1+$D52*(1-F52))+0.5*(-$G52+L52*(1-E52)),(P51+0.5*(-$G52+L52-AA52))*(1+$D52*(1-F52))+0.5*(-$G52+L52-AA52))</f>
        <v>-111523.91828283216</v>
      </c>
      <c r="Q52" s="47"/>
      <c r="R52" s="85">
        <f>IF('Inputs and Results'!$I$54=TRUE,0,$X$3*J52)</f>
        <v>9021.453459866703</v>
      </c>
      <c r="S52" s="86">
        <f t="shared" si="12"/>
        <v>265937.7847342796</v>
      </c>
      <c r="T52" s="86">
        <f>IF('Inputs and Results'!$I$54=TRUE,0,K52*$X$5)</f>
        <v>3706.2035436</v>
      </c>
      <c r="U52" s="86">
        <f t="shared" si="13"/>
        <v>193884.23015399976</v>
      </c>
      <c r="V52" s="85">
        <f>IF('Inputs and Results'!$I$54=TRUE,0,IF(L52&gt;12*$X$4,12*$X$4,L52))</f>
        <v>5536.68</v>
      </c>
      <c r="W52" s="86">
        <f t="shared" si="14"/>
        <v>221467.1999999998</v>
      </c>
      <c r="X52" s="47"/>
      <c r="Y52" s="86">
        <f>IF('Inputs and Results'!$I$54=TRUE,0,IF(S52&lt;$M$7,(J52-R52)*E52,J52*E52))</f>
        <v>5799.505795628595</v>
      </c>
      <c r="Z52" s="86">
        <f>IF('Inputs and Results'!$I$54=TRUE,0,IF(U52&lt;$M$7,(K52-T52)*E52,K52*E52))</f>
        <v>2379.16062</v>
      </c>
      <c r="AA52" s="86">
        <f>IF('Inputs and Results'!$I$54=TRUE,0,IF(W52&lt;$M$7,(L52-V52)*E52,L52*E52))</f>
        <v>9857.818233350132</v>
      </c>
      <c r="AE52" s="2"/>
      <c r="AH52" s="2"/>
      <c r="AI52" s="2"/>
    </row>
    <row r="53" spans="1:35" ht="12.75">
      <c r="A53" s="47">
        <v>41</v>
      </c>
      <c r="B53" s="47">
        <f t="shared" si="8"/>
        <v>110</v>
      </c>
      <c r="C53" s="82">
        <f t="shared" si="1"/>
        <v>0.05</v>
      </c>
      <c r="D53" s="82">
        <f t="shared" si="2"/>
        <v>0.026000000000000002</v>
      </c>
      <c r="E53" s="82">
        <f t="shared" si="3"/>
        <v>0.45</v>
      </c>
      <c r="F53" s="82">
        <f t="shared" si="4"/>
        <v>0.35</v>
      </c>
      <c r="G53" s="84">
        <f t="shared" si="16"/>
        <v>19555.192160868675</v>
      </c>
      <c r="H53" s="47"/>
      <c r="I53" s="47">
        <f t="shared" si="15"/>
        <v>110</v>
      </c>
      <c r="J53" s="84">
        <f t="shared" si="17"/>
        <v>13274.424376661007</v>
      </c>
      <c r="K53" s="84">
        <f t="shared" si="18"/>
        <v>5287.0236</v>
      </c>
      <c r="L53" s="84">
        <f t="shared" si="9"/>
        <v>23001.575877816977</v>
      </c>
      <c r="M53" s="84">
        <f>IF('Inputs and Results'!I98=TRUE,(M52-0.5*G53/(1-E53))*(1+D53)-0.5*G53/(1-E53),IF('Inputs and Results'!$I$54=TRUE,(M52-0.5*G53/(1-E53))*(1+D53)-0.5*G53/(1-E52),(M52-0.5*G53)*(1+D53*(1-F53))-0.5*G53))</f>
        <v>-334621.24186728563</v>
      </c>
      <c r="N53" s="84">
        <f>IF('Inputs and Results'!$I$54=TRUE,(N52+0.5*(-G53+J53*(1-E53)))*(1+D53*(1-F53))+0.5*(-G53+J53*(1-E53)),(N52+0.5*(-G53+J53-Y53))*(1+D53*(1-F53))+0.5*(-G53+J53-Y53))</f>
        <v>-188592.0189550607</v>
      </c>
      <c r="O53" s="84">
        <f>IF('Inputs and Results'!$I$54=TRUE,(O52+0.5*(-$G53+K53*(1-E53)))*(1+$D53*(1-F53))+0.5*(-$G53+K53*(1-E53)),(O52+0.5*(-$G53+K53-Z53))*(1+$D53*(1-F53))+0.5*(-$G53+K53-Z53))</f>
        <v>-254930.2720698389</v>
      </c>
      <c r="P53" s="84">
        <f>IF('Inputs and Results'!$I$54=TRUE,(P52+0.5*(-$G53+L53*(1-E53)))*(1+$D53*(1-F53))+0.5*(-$G53+L53*(1-E53)),(P52+0.5*(-$G53+L53-AA53))*(1+$D53*(1-F53))+0.5*(-$G53+L53-AA53))</f>
        <v>-120371.33947974854</v>
      </c>
      <c r="Q53" s="47"/>
      <c r="R53" s="85">
        <f>IF('Inputs and Results'!$I$54=TRUE,0,$X$3*J53)</f>
        <v>9292.097063662704</v>
      </c>
      <c r="S53" s="86">
        <f t="shared" si="12"/>
        <v>275229.88179794233</v>
      </c>
      <c r="T53" s="86">
        <f>IF('Inputs and Results'!$I$54=TRUE,0,K53*$X$5)</f>
        <v>3706.2035436</v>
      </c>
      <c r="U53" s="86">
        <f t="shared" si="13"/>
        <v>197590.43369759974</v>
      </c>
      <c r="V53" s="85">
        <f>IF('Inputs and Results'!$I$54=TRUE,0,IF(L53&gt;12*$X$4,12*$X$4,L53))</f>
        <v>5536.68</v>
      </c>
      <c r="W53" s="86">
        <f t="shared" si="14"/>
        <v>227003.8799999998</v>
      </c>
      <c r="X53" s="47"/>
      <c r="Y53" s="86">
        <f>IF('Inputs and Results'!$I$54=TRUE,0,IF(S53&lt;$M$7,(J53-R53)*E53,J53*E53))</f>
        <v>5973.490969497453</v>
      </c>
      <c r="Z53" s="86">
        <f>IF('Inputs and Results'!$I$54=TRUE,0,IF(U53&lt;$M$7,(K53-T53)*E53,K53*E53))</f>
        <v>2379.16062</v>
      </c>
      <c r="AA53" s="86">
        <f>IF('Inputs and Results'!$I$54=TRUE,0,IF(W53&lt;$M$7,(L53-V53)*E53,L53*E53))</f>
        <v>10350.70914501764</v>
      </c>
      <c r="AE53" s="2"/>
      <c r="AH53" s="2"/>
      <c r="AI53" s="2"/>
    </row>
    <row r="54" spans="1:35" ht="12.75">
      <c r="A54" s="47">
        <v>42</v>
      </c>
      <c r="B54" s="47">
        <f t="shared" si="8"/>
        <v>111</v>
      </c>
      <c r="C54" s="82">
        <f t="shared" si="1"/>
        <v>0.05</v>
      </c>
      <c r="D54" s="82">
        <f t="shared" si="2"/>
        <v>0.026000000000000002</v>
      </c>
      <c r="E54" s="82">
        <f t="shared" si="3"/>
        <v>0.45</v>
      </c>
      <c r="F54" s="82">
        <f t="shared" si="4"/>
        <v>0.35</v>
      </c>
      <c r="G54" s="84">
        <f t="shared" si="16"/>
        <v>20532.95176891211</v>
      </c>
      <c r="H54" s="47"/>
      <c r="I54" s="47">
        <f t="shared" si="15"/>
        <v>111</v>
      </c>
      <c r="J54" s="84">
        <f t="shared" si="17"/>
        <v>13672.657107960838</v>
      </c>
      <c r="K54" s="84">
        <f t="shared" si="18"/>
        <v>5287.0236</v>
      </c>
      <c r="L54" s="84">
        <f t="shared" si="9"/>
        <v>24151.654671707827</v>
      </c>
      <c r="M54" s="84">
        <f>IF('Inputs and Results'!I99=TRUE,(M53-0.5*G54/(1-E54))*(1+D54)-0.5*G54/(1-E54),IF('Inputs and Results'!$I$54=TRUE,(M53-0.5*G54/(1-E54))*(1+D54)-0.5*G54/(1-E53),(M53-0.5*G54)*(1+D54*(1-F54))-0.5*G54))</f>
        <v>-360982.79606620217</v>
      </c>
      <c r="N54" s="84">
        <f>IF('Inputs and Results'!$I$54=TRUE,(N53+0.5*(-G54+J54*(1-E54)))*(1+D54*(1-F54))+0.5*(-G54+J54*(1-E54)),(N53+0.5*(-G54+J54-Y54))*(1+D54*(1-F54))+0.5*(-G54+J54-Y54))</f>
        <v>-204902.17420347288</v>
      </c>
      <c r="O54" s="84">
        <f>IF('Inputs and Results'!$I$54=TRUE,(O53+0.5*(-$G54+K54*(1-E54)))*(1+$D54*(1-F54))+0.5*(-$G54+K54*(1-E54)),(O53+0.5*(-$G54+K54-Z54))*(1+$D54*(1-F54))+0.5*(-$G54+K54-Z54))</f>
        <v>-277012.6144569975</v>
      </c>
      <c r="P54" s="84">
        <f>IF('Inputs and Results'!$I$54=TRUE,(P53+0.5*(-$G54+L54*(1-E54)))*(1+$D54*(1-F54))+0.5*(-$G54+L54*(1-E54)),(P53+0.5*(-$G54+L54-AA54))*(1+$D54*(1-F54))+0.5*(-$G54+L54-AA54))</f>
        <v>-129716.41544378964</v>
      </c>
      <c r="Q54" s="47"/>
      <c r="R54" s="85">
        <f>IF('Inputs and Results'!$I$54=TRUE,0,$X$3*J54)</f>
        <v>9570.859975572586</v>
      </c>
      <c r="S54" s="86">
        <f t="shared" si="12"/>
        <v>284800.7417735149</v>
      </c>
      <c r="T54" s="86">
        <f>IF('Inputs and Results'!$I$54=TRUE,0,K54*$X$5)</f>
        <v>3706.2035436</v>
      </c>
      <c r="U54" s="86">
        <f t="shared" si="13"/>
        <v>201296.63724119973</v>
      </c>
      <c r="V54" s="85">
        <f>IF('Inputs and Results'!$I$54=TRUE,0,IF(L54&gt;12*$X$4,12*$X$4,L54))</f>
        <v>5536.68</v>
      </c>
      <c r="W54" s="86">
        <f t="shared" si="14"/>
        <v>232540.5599999998</v>
      </c>
      <c r="X54" s="47"/>
      <c r="Y54" s="86">
        <f>IF('Inputs and Results'!$I$54=TRUE,0,IF(S54&lt;$M$7,(J54-R54)*E54,J54*E54))</f>
        <v>6152.695698582377</v>
      </c>
      <c r="Z54" s="86">
        <f>IF('Inputs and Results'!$I$54=TRUE,0,IF(U54&lt;$M$7,(K54-T54)*E54,K54*E54))</f>
        <v>2379.16062</v>
      </c>
      <c r="AA54" s="86">
        <f>IF('Inputs and Results'!$I$54=TRUE,0,IF(W54&lt;$M$7,(L54-V54)*E54,L54*E54))</f>
        <v>10868.244602268522</v>
      </c>
      <c r="AE54" s="2"/>
      <c r="AH54" s="2"/>
      <c r="AI54" s="2"/>
    </row>
    <row r="55" spans="1:35" ht="12.75">
      <c r="A55" s="47">
        <v>43</v>
      </c>
      <c r="B55" s="47">
        <f t="shared" si="8"/>
        <v>112</v>
      </c>
      <c r="C55" s="82">
        <f t="shared" si="1"/>
        <v>0.05</v>
      </c>
      <c r="D55" s="82">
        <f t="shared" si="2"/>
        <v>0.026000000000000002</v>
      </c>
      <c r="E55" s="82">
        <f t="shared" si="3"/>
        <v>0.45</v>
      </c>
      <c r="F55" s="82">
        <f t="shared" si="4"/>
        <v>0.35</v>
      </c>
      <c r="G55" s="84">
        <f t="shared" si="16"/>
        <v>21559.599357357714</v>
      </c>
      <c r="H55" s="47"/>
      <c r="I55" s="47">
        <f t="shared" si="15"/>
        <v>112</v>
      </c>
      <c r="J55" s="84">
        <f t="shared" si="17"/>
        <v>14082.836821199664</v>
      </c>
      <c r="K55" s="84">
        <f t="shared" si="18"/>
        <v>5287.0236</v>
      </c>
      <c r="L55" s="84">
        <f t="shared" si="9"/>
        <v>25359.23740529322</v>
      </c>
      <c r="M55" s="84">
        <f>IF('Inputs and Results'!I100=TRUE,(M54-0.5*G55/(1-E55))*(1+D55)-0.5*G55/(1-E55),IF('Inputs and Results'!$I$54=TRUE,(M54-0.5*G55/(1-E55))*(1+D55)-0.5*G55/(1-E54),(M54-0.5*G55)*(1+D55*(1-F55))-0.5*G55))</f>
        <v>-388825.18329164834</v>
      </c>
      <c r="N55" s="84">
        <f>IF('Inputs and Results'!$I$54=TRUE,(N54+0.5*(-G55+J55*(1-E55)))*(1+D55*(1-F55))+0.5*(-G55+J55*(1-E55)),(N54+0.5*(-G55+J55-Y55))*(1+D55*(1-F55))+0.5*(-G55+J55-Y55))</f>
        <v>-222295.7886836526</v>
      </c>
      <c r="O55" s="84">
        <f>IF('Inputs and Results'!$I$54=TRUE,(O54+0.5*(-$G55+K55*(1-E55)))*(1+$D55*(1-F55))+0.5*(-$G55+K55*(1-E55)),(O54+0.5*(-$G55+K55-Z55))*(1+$D55*(1-F55))+0.5*(-$G55+K55-Z55))</f>
        <v>-300503.47119106713</v>
      </c>
      <c r="P55" s="84">
        <f>IF('Inputs and Results'!$I$54=TRUE,(P54+0.5*(-$G55+L55*(1-E55)))*(1+$D55*(1-F55))+0.5*(-$G55+L55*(1-E55)),(P54+0.5*(-$G55+L55-AA55))*(1+$D55*(1-F55))+0.5*(-$G55+L55-AA55))</f>
        <v>-139584.9632079647</v>
      </c>
      <c r="Q55" s="47"/>
      <c r="R55" s="85">
        <f>IF('Inputs and Results'!$I$54=TRUE,0,$X$3*J55)</f>
        <v>9857.985774839764</v>
      </c>
      <c r="S55" s="86">
        <f t="shared" si="12"/>
        <v>294658.72754835465</v>
      </c>
      <c r="T55" s="86">
        <f>IF('Inputs and Results'!$I$54=TRUE,0,K55*$X$5)</f>
        <v>3706.2035436</v>
      </c>
      <c r="U55" s="86">
        <f t="shared" si="13"/>
        <v>205002.84078479972</v>
      </c>
      <c r="V55" s="85">
        <f>IF('Inputs and Results'!$I$54=TRUE,0,IF(L55&gt;12*$X$4,12*$X$4,L55))</f>
        <v>5536.68</v>
      </c>
      <c r="W55" s="86">
        <f t="shared" si="14"/>
        <v>238077.2399999998</v>
      </c>
      <c r="X55" s="47"/>
      <c r="Y55" s="86">
        <f>IF('Inputs and Results'!$I$54=TRUE,0,IF(S55&lt;$M$7,(J55-R55)*E55,J55*E55))</f>
        <v>6337.276569539849</v>
      </c>
      <c r="Z55" s="86">
        <f>IF('Inputs and Results'!$I$54=TRUE,0,IF(U55&lt;$M$7,(K55-T55)*E55,K55*E55))</f>
        <v>2379.16062</v>
      </c>
      <c r="AA55" s="86">
        <f>IF('Inputs and Results'!$I$54=TRUE,0,IF(W55&lt;$M$7,(L55-V55)*E55,L55*E55))</f>
        <v>11411.65683238195</v>
      </c>
      <c r="AE55" s="2"/>
      <c r="AH55" s="2"/>
      <c r="AI55" s="2"/>
    </row>
    <row r="56" spans="1:35" ht="12.75">
      <c r="A56" s="47">
        <v>44</v>
      </c>
      <c r="B56" s="47">
        <f t="shared" si="8"/>
        <v>113</v>
      </c>
      <c r="C56" s="82">
        <f t="shared" si="1"/>
        <v>0.05</v>
      </c>
      <c r="D56" s="82">
        <f t="shared" si="2"/>
        <v>0.026000000000000002</v>
      </c>
      <c r="E56" s="82">
        <f t="shared" si="3"/>
        <v>0.45</v>
      </c>
      <c r="F56" s="82">
        <f t="shared" si="4"/>
        <v>0.35</v>
      </c>
      <c r="G56" s="84">
        <f t="shared" si="16"/>
        <v>22637.5793252256</v>
      </c>
      <c r="H56" s="47"/>
      <c r="I56" s="47">
        <f t="shared" si="15"/>
        <v>113</v>
      </c>
      <c r="J56" s="84">
        <f t="shared" si="17"/>
        <v>14505.321925835655</v>
      </c>
      <c r="K56" s="84">
        <f t="shared" si="18"/>
        <v>5287.0236</v>
      </c>
      <c r="L56" s="84">
        <f t="shared" si="9"/>
        <v>26627.199275557883</v>
      </c>
      <c r="M56" s="84">
        <f>IF('Inputs and Results'!I101=TRUE,(M55-0.5*G56/(1-E56))*(1+D56)-0.5*G56/(1-E56),IF('Inputs and Results'!$I$54=TRUE,(M55-0.5*G56/(1-E56))*(1+D56)-0.5*G56/(1-E55),(M55-0.5*G56)*(1+D56*(1-F56))-0.5*G56))</f>
        <v>-418225.19575980084</v>
      </c>
      <c r="N56" s="84">
        <f>IF('Inputs and Results'!$I$54=TRUE,(N55+0.5*(-G56+J56*(1-E56)))*(1+D56*(1-F56))+0.5*(-G56+J56*(1-E56)),(N55+0.5*(-G56+J56-Y56))*(1+D56*(1-F56))+0.5*(-G56+J56-Y56))</f>
        <v>-240836.11384007012</v>
      </c>
      <c r="O56" s="84">
        <f>IF('Inputs and Results'!$I$54=TRUE,(O55+0.5*(-$G56+K56*(1-E56)))*(1+$D56*(1-F56))+0.5*(-$G56+K56*(1-E56)),(O55+0.5*(-$G56+K56-Z56))*(1+$D56*(1-F56))+0.5*(-$G56+K56-Z56))</f>
        <v>-325478.41230253887</v>
      </c>
      <c r="P56" s="84">
        <f>IF('Inputs and Results'!$I$54=TRUE,(P55+0.5*(-$G56+L56*(1-E56)))*(1+$D56*(1-F56))+0.5*(-$G56+L56*(1-E56)),(P55+0.5*(-$G56+L56-AA56))*(1+$D56*(1-F56))+0.5*(-$G56+L56-AA56))</f>
        <v>-150004.1064465131</v>
      </c>
      <c r="Q56" s="47"/>
      <c r="R56" s="85">
        <f>IF('Inputs and Results'!$I$54=TRUE,0,$X$3*J56)</f>
        <v>10153.725348084958</v>
      </c>
      <c r="S56" s="86">
        <f t="shared" si="12"/>
        <v>304812.4528964396</v>
      </c>
      <c r="T56" s="86">
        <f>IF('Inputs and Results'!$I$54=TRUE,0,K56*$X$5)</f>
        <v>3706.2035436</v>
      </c>
      <c r="U56" s="86">
        <f t="shared" si="13"/>
        <v>208709.0443283997</v>
      </c>
      <c r="V56" s="85">
        <f>IF('Inputs and Results'!$I$54=TRUE,0,IF(L56&gt;12*$X$4,12*$X$4,L56))</f>
        <v>5536.68</v>
      </c>
      <c r="W56" s="86">
        <f t="shared" si="14"/>
        <v>243613.91999999978</v>
      </c>
      <c r="X56" s="47"/>
      <c r="Y56" s="86">
        <f>IF('Inputs and Results'!$I$54=TRUE,0,IF(S56&lt;$M$7,(J56-R56)*E56,J56*E56))</f>
        <v>6527.394866626045</v>
      </c>
      <c r="Z56" s="86">
        <f>IF('Inputs and Results'!$I$54=TRUE,0,IF(U56&lt;$M$7,(K56-T56)*E56,K56*E56))</f>
        <v>2379.16062</v>
      </c>
      <c r="AA56" s="86">
        <f>IF('Inputs and Results'!$I$54=TRUE,0,IF(W56&lt;$M$7,(L56-V56)*E56,L56*E56))</f>
        <v>11982.239674001048</v>
      </c>
      <c r="AE56" s="2"/>
      <c r="AH56" s="2"/>
      <c r="AI56" s="2"/>
    </row>
    <row r="57" spans="1:35" ht="12.75">
      <c r="A57" s="47">
        <v>45</v>
      </c>
      <c r="B57" s="47">
        <f t="shared" si="8"/>
        <v>114</v>
      </c>
      <c r="C57" s="82">
        <f t="shared" si="1"/>
        <v>0.05</v>
      </c>
      <c r="D57" s="82">
        <f t="shared" si="2"/>
        <v>0.026000000000000002</v>
      </c>
      <c r="E57" s="82">
        <f t="shared" si="3"/>
        <v>0.45</v>
      </c>
      <c r="F57" s="82">
        <f t="shared" si="4"/>
        <v>0.35</v>
      </c>
      <c r="G57" s="84">
        <f t="shared" si="16"/>
        <v>23769.45829148688</v>
      </c>
      <c r="H57" s="47"/>
      <c r="I57" s="47">
        <f t="shared" si="15"/>
        <v>114</v>
      </c>
      <c r="J57" s="84">
        <f t="shared" si="17"/>
        <v>14940.481583610725</v>
      </c>
      <c r="K57" s="84">
        <f t="shared" si="18"/>
        <v>5287.0236</v>
      </c>
      <c r="L57" s="84">
        <f t="shared" si="9"/>
        <v>27958.55923933578</v>
      </c>
      <c r="M57" s="84">
        <f>IF('Inputs and Results'!I102=TRUE,(M56-0.5*G57/(1-E57))*(1+D57)-0.5*G57/(1-E57),IF('Inputs and Results'!$I$54=TRUE,(M56-0.5*G57/(1-E57))*(1+D57)-0.5*G57/(1-E56),(M56-0.5*G57)*(1+D57*(1-F57))-0.5*G57))</f>
        <v>-449263.51178219134</v>
      </c>
      <c r="N57" s="84">
        <f>IF('Inputs and Results'!$I$54=TRUE,(N56+0.5*(-G57+J57*(1-E57)))*(1+D57*(1-F57))+0.5*(-G57+J57*(1-E57)),(N56+0.5*(-G57+J57-Y57))*(1+D57*(1-F57))+0.5*(-G57+J57-Y57))</f>
        <v>-260589.85361887148</v>
      </c>
      <c r="O57" s="84">
        <f>IF('Inputs and Results'!$I$54=TRUE,(O56+0.5*(-$G57+K57*(1-E57)))*(1+$D57*(1-F57))+0.5*(-$G57+K57*(1-E57)),(O56+0.5*(-$G57+K57-Z57))*(1+$D57*(1-F57))+0.5*(-$G57+K57-Z57))</f>
        <v>-352016.87326232065</v>
      </c>
      <c r="P57" s="84">
        <f>IF('Inputs and Results'!$I$54=TRUE,(P56+0.5*(-$G57+L57*(1-E57)))*(1+$D57*(1-F57))+0.5*(-$G57+L57*(1-E57)),(P56+0.5*(-$G57+L57-AA57))*(1+$D57*(1-F57))+0.5*(-$G57+L57-AA57))</f>
        <v>-161002.3410738096</v>
      </c>
      <c r="Q57" s="47"/>
      <c r="R57" s="85">
        <f>IF('Inputs and Results'!$I$54=TRUE,0,$X$3*J57)</f>
        <v>10458.337108527507</v>
      </c>
      <c r="S57" s="86">
        <f t="shared" si="12"/>
        <v>315270.7900049671</v>
      </c>
      <c r="T57" s="86">
        <f>IF('Inputs and Results'!$I$54=TRUE,0,K57*$X$5)</f>
        <v>3706.2035436</v>
      </c>
      <c r="U57" s="86">
        <f t="shared" si="13"/>
        <v>212415.2478719997</v>
      </c>
      <c r="V57" s="85">
        <f>IF('Inputs and Results'!$I$54=TRUE,0,IF(L57&gt;12*$X$4,12*$X$4,L57))</f>
        <v>5536.68</v>
      </c>
      <c r="W57" s="86">
        <f t="shared" si="14"/>
        <v>249150.59999999977</v>
      </c>
      <c r="X57" s="47"/>
      <c r="Y57" s="86">
        <f>IF('Inputs and Results'!$I$54=TRUE,0,IF(S57&lt;$M$7,(J57-R57)*E57,J57*E57))</f>
        <v>6723.216712624826</v>
      </c>
      <c r="Z57" s="86">
        <f>IF('Inputs and Results'!$I$54=TRUE,0,IF(U57&lt;$M$7,(K57-T57)*E57,K57*E57))</f>
        <v>2379.16062</v>
      </c>
      <c r="AA57" s="86">
        <f>IF('Inputs and Results'!$I$54=TRUE,0,IF(W57&lt;$M$7,(L57-V57)*E57,L57*E57))</f>
        <v>12581.351657701101</v>
      </c>
      <c r="AE57" s="2"/>
      <c r="AH57" s="2"/>
      <c r="AI57" s="2"/>
    </row>
    <row r="58" spans="1:35" ht="12.75">
      <c r="A58" s="47">
        <v>46</v>
      </c>
      <c r="B58" s="47">
        <f t="shared" si="8"/>
        <v>115</v>
      </c>
      <c r="C58" s="82">
        <f t="shared" si="1"/>
        <v>0.05</v>
      </c>
      <c r="D58" s="82">
        <f t="shared" si="2"/>
        <v>0.026000000000000002</v>
      </c>
      <c r="E58" s="82">
        <f t="shared" si="3"/>
        <v>0.45</v>
      </c>
      <c r="F58" s="82">
        <f t="shared" si="4"/>
        <v>0.35</v>
      </c>
      <c r="G58" s="84">
        <f t="shared" si="16"/>
        <v>24957.931206061225</v>
      </c>
      <c r="H58" s="47"/>
      <c r="I58" s="47">
        <f t="shared" si="15"/>
        <v>115</v>
      </c>
      <c r="J58" s="84">
        <f t="shared" si="17"/>
        <v>15388.696031119047</v>
      </c>
      <c r="K58" s="84">
        <f t="shared" si="18"/>
        <v>5287.0236</v>
      </c>
      <c r="L58" s="84">
        <f t="shared" si="9"/>
        <v>29356.48720130257</v>
      </c>
      <c r="M58" s="84">
        <f>IF('Inputs and Results'!I103=TRUE,(M57-0.5*G58/(1-E58))*(1+D58)-0.5*G58/(1-E58),IF('Inputs and Results'!$I$54=TRUE,(M57-0.5*G58/(1-E58))*(1+D58)-0.5*G58/(1-E57),(M57-0.5*G58)*(1+D58*(1-F58))-0.5*G58))</f>
        <v>-482024.8908560628</v>
      </c>
      <c r="N58" s="84">
        <f>IF('Inputs and Results'!$I$54=TRUE,(N57+0.5*(-G58+J58*(1-E58)))*(1+D58*(1-F58))+0.5*(-G58+J58*(1-E58)),(N57+0.5*(-G58+J58-Y58))*(1+D58*(1-F58))+0.5*(-G58+J58-Y58))</f>
        <v>-281627.3460878627</v>
      </c>
      <c r="O58" s="84">
        <f>IF('Inputs and Results'!$I$54=TRUE,(O57+0.5*(-$G58+K58*(1-E58)))*(1+$D58*(1-F58))+0.5*(-$G58+K58*(1-E58)),(O57+0.5*(-$G58+K58-Z58))*(1+$D58*(1-F58))+0.5*(-$G58+K58-Z58))</f>
        <v>-380202.3497230252</v>
      </c>
      <c r="P58" s="84">
        <f>IF('Inputs and Results'!$I$54=TRUE,(P57+0.5*(-$G58+L58*(1-E58)))*(1+$D58*(1-F58))+0.5*(-$G58+L58*(1-E58)),(P57+0.5*(-$G58+L58-AA58))*(1+$D58*(1-F58))+0.5*(-$G58+L58-AA58))</f>
        <v>-172609.60412772498</v>
      </c>
      <c r="Q58" s="47"/>
      <c r="R58" s="85">
        <f>IF('Inputs and Results'!$I$54=TRUE,0,$X$3*J58)</f>
        <v>10772.087221783333</v>
      </c>
      <c r="S58" s="86">
        <f t="shared" si="12"/>
        <v>326042.8772267504</v>
      </c>
      <c r="T58" s="86">
        <f>IF('Inputs and Results'!$I$54=TRUE,0,K58*$X$5)</f>
        <v>3706.2035436</v>
      </c>
      <c r="U58" s="86">
        <f t="shared" si="13"/>
        <v>216121.45141559967</v>
      </c>
      <c r="V58" s="85">
        <f>IF('Inputs and Results'!$I$54=TRUE,0,IF(L58&gt;12*$X$4,12*$X$4,L58))</f>
        <v>5536.68</v>
      </c>
      <c r="W58" s="86">
        <f t="shared" si="14"/>
        <v>254687.27999999977</v>
      </c>
      <c r="X58" s="47"/>
      <c r="Y58" s="86">
        <f>IF('Inputs and Results'!$I$54=TRUE,0,IF(S58&lt;$M$7,(J58-R58)*E58,J58*E58))</f>
        <v>6924.913214003571</v>
      </c>
      <c r="Z58" s="86">
        <f>IF('Inputs and Results'!$I$54=TRUE,0,IF(U58&lt;$M$7,(K58-T58)*E58,K58*E58))</f>
        <v>2379.16062</v>
      </c>
      <c r="AA58" s="86">
        <f>IF('Inputs and Results'!$I$54=TRUE,0,IF(W58&lt;$M$7,(L58-V58)*E58,L58*E58))</f>
        <v>13210.419240586158</v>
      </c>
      <c r="AE58" s="2"/>
      <c r="AH58" s="2"/>
      <c r="AI58" s="2"/>
    </row>
    <row r="59" spans="1:35" ht="12.75">
      <c r="A59" s="47">
        <v>47</v>
      </c>
      <c r="B59" s="47">
        <f t="shared" si="8"/>
        <v>116</v>
      </c>
      <c r="C59" s="82">
        <f t="shared" si="1"/>
        <v>0.05</v>
      </c>
      <c r="D59" s="82">
        <f t="shared" si="2"/>
        <v>0.026000000000000002</v>
      </c>
      <c r="E59" s="82">
        <f t="shared" si="3"/>
        <v>0.45</v>
      </c>
      <c r="F59" s="82">
        <f t="shared" si="4"/>
        <v>0.35</v>
      </c>
      <c r="G59" s="84">
        <f t="shared" si="16"/>
        <v>26205.827766364288</v>
      </c>
      <c r="H59" s="47"/>
      <c r="I59" s="47">
        <f t="shared" si="15"/>
        <v>116</v>
      </c>
      <c r="J59" s="84">
        <f t="shared" si="17"/>
        <v>15850.356912052619</v>
      </c>
      <c r="K59" s="84">
        <f t="shared" si="18"/>
        <v>5287.0236</v>
      </c>
      <c r="L59" s="84">
        <f t="shared" si="9"/>
        <v>30824.3115613677</v>
      </c>
      <c r="M59" s="84">
        <f>IF('Inputs and Results'!I104=TRUE,(M58-0.5*G59/(1-E59))*(1+D59)-0.5*G59/(1-E59),IF('Inputs and Results'!$I$54=TRUE,(M58-0.5*G59/(1-E59))*(1+D59)-0.5*G59/(1-E58),(M58-0.5*G59)*(1+D59*(1-F59))-0.5*G59))</f>
        <v>-516598.37852252036</v>
      </c>
      <c r="N59" s="84">
        <f>IF('Inputs and Results'!$I$54=TRUE,(N58+0.5*(-G59+J59*(1-E59)))*(1+D59*(1-F59))+0.5*(-G59+J59*(1-E59)),(N58+0.5*(-G59+J59-Y59))*(1+D59*(1-F59))+0.5*(-G59+J59-Y59))</f>
        <v>-304022.7544123599</v>
      </c>
      <c r="O59" s="84">
        <f>IF('Inputs and Results'!$I$54=TRUE,(O58+0.5*(-$G59+K59*(1-E59)))*(1+$D59*(1-F59))+0.5*(-$G59+K59*(1-E59)),(O58+0.5*(-$G59+K59-Z59))*(1+$D59*(1-F59))+0.5*(-$G59+K59-Z59))</f>
        <v>-410122.6020221533</v>
      </c>
      <c r="P59" s="84">
        <f>IF('Inputs and Results'!$I$54=TRUE,(P58+0.5*(-$G59+L59*(1-E59)))*(1+$D59*(1-F59))+0.5*(-$G59+L59*(1-E59)),(P58+0.5*(-$G59+L59-AA59))*(1+$D59*(1-F59))+0.5*(-$G59+L59-AA59))</f>
        <v>-184857.3461017399</v>
      </c>
      <c r="Q59" s="47"/>
      <c r="R59" s="85">
        <f>IF('Inputs and Results'!$I$54=TRUE,0,$X$3*J59)</f>
        <v>11095.249838436832</v>
      </c>
      <c r="S59" s="86">
        <f t="shared" si="12"/>
        <v>337138.12706518726</v>
      </c>
      <c r="T59" s="86">
        <f>IF('Inputs and Results'!$I$54=TRUE,0,K59*$X$5)</f>
        <v>3706.2035436</v>
      </c>
      <c r="U59" s="86">
        <f t="shared" si="13"/>
        <v>219827.65495919966</v>
      </c>
      <c r="V59" s="85">
        <f>IF('Inputs and Results'!$I$54=TRUE,0,IF(L59&gt;12*$X$4,12*$X$4,L59))</f>
        <v>5536.68</v>
      </c>
      <c r="W59" s="86">
        <f t="shared" si="14"/>
        <v>260223.95999999976</v>
      </c>
      <c r="X59" s="47"/>
      <c r="Y59" s="86">
        <f>IF('Inputs and Results'!$I$54=TRUE,0,IF(S59&lt;$M$7,(J59-R59)*E59,J59*E59))</f>
        <v>7132.660610423679</v>
      </c>
      <c r="Z59" s="86">
        <f>IF('Inputs and Results'!$I$54=TRUE,0,IF(U59&lt;$M$7,(K59-T59)*E59,K59*E59))</f>
        <v>2379.16062</v>
      </c>
      <c r="AA59" s="86">
        <f>IF('Inputs and Results'!$I$54=TRUE,0,IF(W59&lt;$M$7,(L59-V59)*E59,L59*E59))</f>
        <v>13870.940202615466</v>
      </c>
      <c r="AE59" s="2"/>
      <c r="AH59" s="2"/>
      <c r="AI59" s="2"/>
    </row>
    <row r="60" spans="1:35" ht="12.75">
      <c r="A60" s="47">
        <v>48</v>
      </c>
      <c r="B60" s="47">
        <f t="shared" si="8"/>
        <v>117</v>
      </c>
      <c r="C60" s="82">
        <f t="shared" si="1"/>
        <v>0.05</v>
      </c>
      <c r="D60" s="82">
        <f t="shared" si="2"/>
        <v>0.026000000000000002</v>
      </c>
      <c r="E60" s="82">
        <f t="shared" si="3"/>
        <v>0.45</v>
      </c>
      <c r="F60" s="82">
        <f t="shared" si="4"/>
        <v>0.35</v>
      </c>
      <c r="G60" s="84">
        <f t="shared" si="16"/>
        <v>27516.119154682503</v>
      </c>
      <c r="H60" s="47"/>
      <c r="I60" s="47">
        <f t="shared" si="15"/>
        <v>117</v>
      </c>
      <c r="J60" s="84">
        <f t="shared" si="17"/>
        <v>16325.867619414197</v>
      </c>
      <c r="K60" s="84">
        <f t="shared" si="18"/>
        <v>5287.0236</v>
      </c>
      <c r="L60" s="84">
        <f t="shared" si="9"/>
        <v>32365.527139436086</v>
      </c>
      <c r="M60" s="84">
        <f>IF('Inputs and Results'!I105=TRUE,(M59-0.5*G60/(1-E60))*(1+D60)-0.5*G60/(1-E60),IF('Inputs and Results'!$I$54=TRUE,(M59-0.5*G60/(1-E60))*(1+D60)-0.5*G60/(1-E59),(M59-0.5*G60)*(1+D60*(1-F60))-0.5*G60))</f>
        <v>-553077.5214810906</v>
      </c>
      <c r="N60" s="84">
        <f>IF('Inputs and Results'!$I$54=TRUE,(N59+0.5*(-G60+J60*(1-E60)))*(1+D60*(1-F60))+0.5*(-G60+J60*(1-E60)),(N59+0.5*(-G60+J60-Y60))*(1+D60*(1-F60))+0.5*(-G60+J60-Y60))</f>
        <v>-327854.2676630293</v>
      </c>
      <c r="O60" s="84">
        <f>IF('Inputs and Results'!$I$54=TRUE,(O59+0.5*(-$G60+K60*(1-E60)))*(1+$D60*(1-F60))+0.5*(-$G60+K60*(1-E60)),(O59+0.5*(-$G60+K60-Z60))*(1+$D60*(1-F60))+0.5*(-$G60+K60-Z60))</f>
        <v>-441869.8699356863</v>
      </c>
      <c r="P60" s="84">
        <f>IF('Inputs and Results'!$I$54=TRUE,(P59+0.5*(-$G60+L60*(1-E60)))*(1+$D60*(1-F60))+0.5*(-$G60+L60*(1-E60)),(P59+0.5*(-$G60+L60-AA60))*(1+$D60*(1-F60))+0.5*(-$G60+L60-AA60))</f>
        <v>-197778.60689832852</v>
      </c>
      <c r="Q60" s="47"/>
      <c r="R60" s="85">
        <f>IF('Inputs and Results'!$I$54=TRUE,0,$X$3*J60)</f>
        <v>11428.107333589938</v>
      </c>
      <c r="S60" s="86">
        <f t="shared" si="12"/>
        <v>348566.2343987772</v>
      </c>
      <c r="T60" s="86">
        <f>IF('Inputs and Results'!$I$54=TRUE,0,K60*$X$5)</f>
        <v>3706.2035436</v>
      </c>
      <c r="U60" s="86">
        <f t="shared" si="13"/>
        <v>223533.85850279965</v>
      </c>
      <c r="V60" s="85">
        <f>IF('Inputs and Results'!$I$54=TRUE,0,IF(L60&gt;12*$X$4,12*$X$4,L60))</f>
        <v>5536.68</v>
      </c>
      <c r="W60" s="86">
        <f t="shared" si="14"/>
        <v>265760.6399999998</v>
      </c>
      <c r="X60" s="47"/>
      <c r="Y60" s="86">
        <f>IF('Inputs and Results'!$I$54=TRUE,0,IF(S60&lt;$M$7,(J60-R60)*E60,J60*E60))</f>
        <v>7346.6404287363885</v>
      </c>
      <c r="Z60" s="86">
        <f>IF('Inputs and Results'!$I$54=TRUE,0,IF(U60&lt;$M$7,(K60-T60)*E60,K60*E60))</f>
        <v>2379.16062</v>
      </c>
      <c r="AA60" s="86">
        <f>IF('Inputs and Results'!$I$54=TRUE,0,IF(W60&lt;$M$7,(L60-V60)*E60,L60*E60))</f>
        <v>14564.487212746239</v>
      </c>
      <c r="AE60" s="2"/>
      <c r="AH60" s="2"/>
      <c r="AI60" s="2"/>
    </row>
    <row r="61" spans="1:35" ht="12.75">
      <c r="A61" s="47">
        <v>49</v>
      </c>
      <c r="B61" s="47">
        <f t="shared" si="8"/>
        <v>118</v>
      </c>
      <c r="C61" s="82">
        <f t="shared" si="1"/>
        <v>0.05</v>
      </c>
      <c r="D61" s="82">
        <f t="shared" si="2"/>
        <v>0.026000000000000002</v>
      </c>
      <c r="E61" s="82">
        <f t="shared" si="3"/>
        <v>0.45</v>
      </c>
      <c r="F61" s="82">
        <f t="shared" si="4"/>
        <v>0.35</v>
      </c>
      <c r="G61" s="84">
        <f t="shared" si="16"/>
        <v>28891.92511241663</v>
      </c>
      <c r="H61" s="47"/>
      <c r="I61" s="47">
        <f t="shared" si="15"/>
        <v>118</v>
      </c>
      <c r="J61" s="84">
        <f t="shared" si="17"/>
        <v>16815.643647996625</v>
      </c>
      <c r="K61" s="84">
        <f t="shared" si="18"/>
        <v>5287.0236</v>
      </c>
      <c r="L61" s="84">
        <f t="shared" si="9"/>
        <v>33983.80349640789</v>
      </c>
      <c r="M61" s="84">
        <f>IF('Inputs and Results'!I106=TRUE,(M60-0.5*G61/(1-E61))*(1+D61)-0.5*G61/(1-E61),IF('Inputs and Results'!$I$54=TRUE,(M60-0.5*G61/(1-E61))*(1+D61)-0.5*G61/(1-E60),(M60-0.5*G61)*(1+D61*(1-F61))-0.5*G61))</f>
        <v>-591560.5934737376</v>
      </c>
      <c r="N61" s="84">
        <f>IF('Inputs and Results'!$I$54=TRUE,(N60+0.5*(-G61+J61*(1-E61)))*(1+D61*(1-F61))+0.5*(-G61+J61*(1-E61)),(N60+0.5*(-G61+J61-Y61))*(1+D61*(1-F61))+0.5*(-G61+J61-Y61))</f>
        <v>-353204.3119558988</v>
      </c>
      <c r="O61" s="84">
        <f>IF('Inputs and Results'!$I$54=TRUE,(O60+0.5*(-$G61+K61*(1-E61)))*(1+$D61*(1-F61))+0.5*(-$G61+K61*(1-E61)),(O60+0.5*(-$G61+K61-Z61))*(1+$D61*(1-F61))+0.5*(-$G61+K61-Z61))</f>
        <v>-475541.0981950349</v>
      </c>
      <c r="P61" s="84">
        <f>IF('Inputs and Results'!$I$54=TRUE,(P60+0.5*(-$G61+L61*(1-E61)))*(1+$D61*(1-F61))+0.5*(-$G61+L61*(1-E61)),(P60+0.5*(-$G61+L61-AA61))*(1+$D61*(1-F61))+0.5*(-$G61+L61-AA61))</f>
        <v>-211408.0955847529</v>
      </c>
      <c r="Q61" s="47"/>
      <c r="R61" s="85">
        <f>IF('Inputs and Results'!$I$54=TRUE,0,$X$3*J61)</f>
        <v>11770.950553597637</v>
      </c>
      <c r="S61" s="86">
        <f t="shared" si="12"/>
        <v>360337.18495237484</v>
      </c>
      <c r="T61" s="86">
        <f>IF('Inputs and Results'!$I$54=TRUE,0,K61*$X$5)</f>
        <v>3706.2035436</v>
      </c>
      <c r="U61" s="86">
        <f t="shared" si="13"/>
        <v>227240.06204639963</v>
      </c>
      <c r="V61" s="85">
        <f>IF('Inputs and Results'!$I$54=TRUE,0,IF(L61&gt;12*$X$4,12*$X$4,L61))</f>
        <v>5536.68</v>
      </c>
      <c r="W61" s="86">
        <f t="shared" si="14"/>
        <v>271297.3199999998</v>
      </c>
      <c r="X61" s="47"/>
      <c r="Y61" s="86">
        <f>IF('Inputs and Results'!$I$54=TRUE,0,IF(S61&lt;$M$7,(J61-R61)*E61,J61*E61))</f>
        <v>7567.0396415984815</v>
      </c>
      <c r="Z61" s="86">
        <f>IF('Inputs and Results'!$I$54=TRUE,0,IF(U61&lt;$M$7,(K61-T61)*E61,K61*E61))</f>
        <v>2379.16062</v>
      </c>
      <c r="AA61" s="86">
        <f>IF('Inputs and Results'!$I$54=TRUE,0,IF(W61&lt;$M$7,(L61-V61)*E61,L61*E61))</f>
        <v>15292.71157338355</v>
      </c>
      <c r="AE61" s="2"/>
      <c r="AH61" s="2"/>
      <c r="AI61" s="2"/>
    </row>
    <row r="62" spans="1:35" ht="12.75">
      <c r="A62" s="47">
        <v>50</v>
      </c>
      <c r="B62" s="47">
        <f t="shared" si="8"/>
        <v>119</v>
      </c>
      <c r="C62" s="82">
        <f t="shared" si="1"/>
        <v>0.05</v>
      </c>
      <c r="D62" s="82">
        <f t="shared" si="2"/>
        <v>0.026000000000000002</v>
      </c>
      <c r="E62" s="82">
        <f t="shared" si="3"/>
        <v>0.45</v>
      </c>
      <c r="F62" s="82">
        <f t="shared" si="4"/>
        <v>0.35</v>
      </c>
      <c r="G62" s="84">
        <f t="shared" si="16"/>
        <v>30336.52136803746</v>
      </c>
      <c r="H62" s="47"/>
      <c r="I62" s="47">
        <f t="shared" si="15"/>
        <v>119</v>
      </c>
      <c r="J62" s="84">
        <f t="shared" si="17"/>
        <v>17320.112957436526</v>
      </c>
      <c r="K62" s="84">
        <f t="shared" si="18"/>
        <v>5287.0236</v>
      </c>
      <c r="L62" s="84">
        <f t="shared" si="9"/>
        <v>35682.99367122829</v>
      </c>
      <c r="M62" s="84">
        <f>IF('Inputs and Results'!I107=TRUE,(M61-0.5*G62/(1-E62))*(1+D62)-0.5*G62/(1-E62),IF('Inputs and Results'!$I$54=TRUE,(M61-0.5*G62/(1-E62))*(1+D62)-0.5*G62/(1-E61),(M61-0.5*G62)*(1+D62*(1-F62))-0.5*G62))</f>
        <v>-632150.832477041</v>
      </c>
      <c r="N62" s="84">
        <f>IF('Inputs and Results'!$I$54=TRUE,(N61+0.5*(-G62+J62*(1-E62)))*(1+D62*(1-F62))+0.5*(-G62+J62*(1-E62)),(N61+0.5*(-G62+J62-Y62))*(1+D62*(1-F62))+0.5*(-G62+J62-Y62))</f>
        <v>-380159.7724499911</v>
      </c>
      <c r="O62" s="84">
        <f>IF('Inputs and Results'!$I$54=TRUE,(O61+0.5*(-$G62+K62*(1-E62)))*(1+$D62*(1-F62))+0.5*(-$G62+K62*(1-E62)),(O61+0.5*(-$G62+K62-Z62))*(1+$D62*(1-F62))+0.5*(-$G62+K62-Z62))</f>
        <v>-511238.17330594733</v>
      </c>
      <c r="P62" s="84">
        <f>IF('Inputs and Results'!$I$54=TRUE,(P61+0.5*(-$G62+L62*(1-E62)))*(1+$D62*(1-F62))+0.5*(-$G62+L62*(1-E62)),(P61+0.5*(-$G62+L62-AA62))*(1+$D62*(1-F62))+0.5*(-$G62+L62-AA62))</f>
        <v>-225782.27414147</v>
      </c>
      <c r="Q62" s="47"/>
      <c r="R62" s="85">
        <f>IF('Inputs and Results'!$I$54=TRUE,0,$X$3*J62)</f>
        <v>12124.079070205567</v>
      </c>
      <c r="S62" s="86">
        <f t="shared" si="12"/>
        <v>372461.2640225804</v>
      </c>
      <c r="T62" s="86">
        <f>IF('Inputs and Results'!$I$54=TRUE,0,K62*$X$5)</f>
        <v>3706.2035436</v>
      </c>
      <c r="U62" s="86">
        <f t="shared" si="13"/>
        <v>230946.26558999962</v>
      </c>
      <c r="V62" s="85">
        <f>IF('Inputs and Results'!$I$54=TRUE,0,IF(L62&gt;12*$X$4,12*$X$4,L62))</f>
        <v>5536.68</v>
      </c>
      <c r="W62" s="86">
        <f t="shared" si="14"/>
        <v>276833.99999999977</v>
      </c>
      <c r="X62" s="47"/>
      <c r="Y62" s="86">
        <f>IF('Inputs and Results'!$I$54=TRUE,0,IF(S62&lt;$M$7,(J62-R62)*E62,J62*E62))</f>
        <v>7794.050830846437</v>
      </c>
      <c r="Z62" s="86">
        <f>IF('Inputs and Results'!$I$54=TRUE,0,IF(U62&lt;$M$7,(K62-T62)*E62,K62*E62))</f>
        <v>2379.16062</v>
      </c>
      <c r="AA62" s="86">
        <f>IF('Inputs and Results'!$I$54=TRUE,0,IF(W62&lt;$M$7,(L62-V62)*E62,L62*E62))</f>
        <v>16057.34715205273</v>
      </c>
      <c r="AE62" s="2"/>
      <c r="AH62" s="2"/>
      <c r="AI62" s="2"/>
    </row>
    <row r="63" spans="1:35" ht="12.75">
      <c r="A63" s="47">
        <v>51</v>
      </c>
      <c r="B63" s="47">
        <f t="shared" si="8"/>
        <v>120</v>
      </c>
      <c r="C63" s="82">
        <f t="shared" si="1"/>
        <v>0.05</v>
      </c>
      <c r="D63" s="82">
        <f t="shared" si="2"/>
        <v>0.026000000000000002</v>
      </c>
      <c r="E63" s="82">
        <f t="shared" si="3"/>
        <v>0.45</v>
      </c>
      <c r="F63" s="82">
        <f t="shared" si="4"/>
        <v>0.35</v>
      </c>
      <c r="G63" s="84">
        <f t="shared" si="16"/>
        <v>31853.347436439337</v>
      </c>
      <c r="H63" s="47"/>
      <c r="I63" s="47">
        <f t="shared" si="15"/>
        <v>120</v>
      </c>
      <c r="J63" s="84">
        <f t="shared" si="17"/>
        <v>17839.71634615962</v>
      </c>
      <c r="K63" s="84">
        <f t="shared" si="18"/>
        <v>5287.0236</v>
      </c>
      <c r="L63" s="84">
        <f t="shared" si="9"/>
        <v>37467.1433547897</v>
      </c>
      <c r="M63" s="84">
        <f>IF('Inputs and Results'!I108=TRUE,(M62-0.5*G63/(1-E63))*(1+D63)-0.5*G63/(1-E63),IF('Inputs and Results'!$I$54=TRUE,(M62-0.5*G63/(1-E63))*(1+D63)-0.5*G63/(1-E62),(M62-0.5*G63)*(1+D63*(1-F63))-0.5*G63))</f>
        <v>-674956.6897681801</v>
      </c>
      <c r="N63" s="84">
        <f>IF('Inputs and Results'!$I$54=TRUE,(N62+0.5*(-G63+J63*(1-E63)))*(1+D63*(1-F63))+0.5*(-G63+J63*(1-E63)),(N62+0.5*(-G63+J63-Y63))*(1+D63*(1-F63))+0.5*(-G63+J63-Y63))</f>
        <v>-408812.22675456654</v>
      </c>
      <c r="O63" s="84">
        <f>IF('Inputs and Results'!$I$54=TRUE,(O62+0.5*(-$G63+K63*(1-E63)))*(1+$D63*(1-F63))+0.5*(-$G63+K63*(1-E63)),(O62+0.5*(-$G63+K63-Z63))*(1+$D63*(1-F63))+0.5*(-$G63+K63-Z63))</f>
        <v>-549068.172234914</v>
      </c>
      <c r="P63" s="84">
        <f>IF('Inputs and Results'!$I$54=TRUE,(P62+0.5*(-$G63+L63*(1-E63)))*(1+$D63*(1-F63))+0.5*(-$G63+L63*(1-E63)),(P62+0.5*(-$G63+L63-AA63))*(1+$D63*(1-F63))+0.5*(-$G63+L63-AA63))</f>
        <v>-240939.44540286233</v>
      </c>
      <c r="Q63" s="47"/>
      <c r="R63" s="85">
        <f>IF('Inputs and Results'!$I$54=TRUE,0,$X$3*J63)</f>
        <v>12487.801442311735</v>
      </c>
      <c r="S63" s="86">
        <f t="shared" si="12"/>
        <v>384949.06546489213</v>
      </c>
      <c r="T63" s="86">
        <f>IF('Inputs and Results'!$I$54=TRUE,0,K63*$X$5)</f>
        <v>3706.2035436</v>
      </c>
      <c r="U63" s="86">
        <f t="shared" si="13"/>
        <v>234652.4691335996</v>
      </c>
      <c r="V63" s="85">
        <f>IF('Inputs and Results'!$I$54=TRUE,0,IF(L63&gt;12*$X$4,12*$X$4,L63))</f>
        <v>5536.68</v>
      </c>
      <c r="W63" s="86">
        <f t="shared" si="14"/>
        <v>282370.67999999976</v>
      </c>
      <c r="X63" s="47"/>
      <c r="Y63" s="86">
        <f>IF('Inputs and Results'!$I$54=TRUE,0,IF(S63&lt;$M$7,(J63-R63)*E63,J63*E63))</f>
        <v>8027.8723557718295</v>
      </c>
      <c r="Z63" s="86">
        <f>IF('Inputs and Results'!$I$54=TRUE,0,IF(U63&lt;$M$7,(K63-T63)*E63,K63*E63))</f>
        <v>2379.16062</v>
      </c>
      <c r="AA63" s="86">
        <f>IF('Inputs and Results'!$I$54=TRUE,0,IF(W63&lt;$M$7,(L63-V63)*E63,L63*E63))</f>
        <v>16860.21450965537</v>
      </c>
      <c r="AE63" s="2"/>
      <c r="AH63" s="2"/>
      <c r="AI63" s="2"/>
    </row>
    <row r="64" spans="2:35" ht="12.75">
      <c r="B64" s="3"/>
      <c r="C64" s="4"/>
      <c r="D64" s="1"/>
      <c r="E64" s="6"/>
      <c r="F64" s="6"/>
      <c r="G64" s="6"/>
      <c r="H64" s="7"/>
      <c r="I64" s="6"/>
      <c r="J64" s="6"/>
      <c r="M64" s="6"/>
      <c r="N64" s="6"/>
      <c r="O64" s="6"/>
      <c r="P64" s="6"/>
      <c r="Q64" s="6"/>
      <c r="R64" s="6"/>
      <c r="S64" s="2"/>
      <c r="T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H64" s="2"/>
      <c r="AI64" s="2"/>
    </row>
    <row r="65" ht="12.75">
      <c r="H65" s="46" t="s">
        <v>85</v>
      </c>
    </row>
    <row r="66" spans="1:29" ht="12.75">
      <c r="A66" s="139"/>
      <c r="B66" s="139"/>
      <c r="C66" s="139" t="s">
        <v>151</v>
      </c>
      <c r="D66" s="139"/>
      <c r="E66" s="139"/>
      <c r="F66" s="139" t="s">
        <v>3</v>
      </c>
      <c r="G66" s="139"/>
      <c r="H66" s="139"/>
      <c r="I66" s="139" t="str">
        <f>B67</f>
        <v>Spending</v>
      </c>
      <c r="J66" s="139"/>
      <c r="K66" s="139"/>
      <c r="L66" s="139"/>
      <c r="M66" s="139" t="s">
        <v>152</v>
      </c>
      <c r="N66" s="139"/>
      <c r="O66" s="139"/>
      <c r="P66" s="139"/>
      <c r="Q66" s="139"/>
      <c r="R66" s="139"/>
      <c r="S66" s="139" t="s">
        <v>12</v>
      </c>
      <c r="T66" s="139"/>
      <c r="U66" s="139"/>
      <c r="V66" s="139"/>
      <c r="W66" s="139"/>
      <c r="X66" s="139" t="s">
        <v>249</v>
      </c>
      <c r="Y66" s="139"/>
      <c r="Z66" s="139"/>
      <c r="AA66" s="139"/>
      <c r="AB66" s="139"/>
      <c r="AC66" s="96"/>
    </row>
    <row r="67" spans="1:29" ht="12.75">
      <c r="A67" s="139" t="s">
        <v>7</v>
      </c>
      <c r="B67" s="139" t="s">
        <v>6</v>
      </c>
      <c r="C67" s="139" t="s">
        <v>22</v>
      </c>
      <c r="D67" s="139" t="s">
        <v>11</v>
      </c>
      <c r="E67" s="139" t="s">
        <v>13</v>
      </c>
      <c r="F67" s="139" t="s">
        <v>275</v>
      </c>
      <c r="G67" s="139" t="str">
        <f aca="true" t="shared" si="19" ref="G67:G98">A67</f>
        <v>Age</v>
      </c>
      <c r="H67" s="139" t="s">
        <v>262</v>
      </c>
      <c r="I67" s="139" t="s">
        <v>263</v>
      </c>
      <c r="J67" s="139" t="s">
        <v>11</v>
      </c>
      <c r="K67" s="139" t="s">
        <v>13</v>
      </c>
      <c r="L67" s="139" t="str">
        <f aca="true" t="shared" si="20" ref="L67:L98">G67</f>
        <v>Age</v>
      </c>
      <c r="M67" s="139" t="str">
        <f aca="true" t="shared" si="21" ref="M67:O68">C67</f>
        <v>%/Yr Adj.</v>
      </c>
      <c r="N67" s="139" t="str">
        <f t="shared" si="21"/>
        <v>Full COLA</v>
      </c>
      <c r="O67" s="139" t="str">
        <f t="shared" si="21"/>
        <v>Fixed Pmt</v>
      </c>
      <c r="P67" s="139" t="s">
        <v>7</v>
      </c>
      <c r="Q67" s="139" t="s">
        <v>23</v>
      </c>
      <c r="R67" s="139" t="s">
        <v>22</v>
      </c>
      <c r="S67" s="139" t="s">
        <v>11</v>
      </c>
      <c r="T67" s="139" t="s">
        <v>13</v>
      </c>
      <c r="U67" s="139"/>
      <c r="V67" s="139" t="str">
        <f>P67</f>
        <v>Age</v>
      </c>
      <c r="W67" s="139" t="str">
        <f aca="true" t="shared" si="22" ref="W67:Y68">Q67</f>
        <v>No Annuity</v>
      </c>
      <c r="X67" s="139" t="str">
        <f t="shared" si="22"/>
        <v>%/Yr Adj.</v>
      </c>
      <c r="Y67" s="139" t="str">
        <f t="shared" si="22"/>
        <v>Full COLA</v>
      </c>
      <c r="Z67" s="139" t="str">
        <f>T67</f>
        <v>Fixed Pmt</v>
      </c>
      <c r="AA67" s="139"/>
      <c r="AB67" s="139"/>
      <c r="AC67" s="96"/>
    </row>
    <row r="68" spans="1:29" ht="12.75">
      <c r="A68" s="139">
        <f aca="true" t="shared" si="23" ref="A68:A99">B13</f>
        <v>70</v>
      </c>
      <c r="B68" s="140">
        <f aca="true" t="shared" si="24" ref="B68:B99">G13</f>
        <v>5025</v>
      </c>
      <c r="C68" s="140">
        <f>IF('Inputs and Results'!$I$54=TRUE,J13*(1-E13),J13-Y13)</f>
        <v>5435.9436000000005</v>
      </c>
      <c r="D68" s="140">
        <f>IF('Inputs and Results'!$I$54=TRUE,L13*(1-E13),L13-AA13)</f>
        <v>5779.728</v>
      </c>
      <c r="E68" s="140">
        <f>IF('Inputs and Results'!$I$54=TRUE,K13*(1-E13),K13-Z13)</f>
        <v>7065.278478</v>
      </c>
      <c r="F68" s="141">
        <v>1</v>
      </c>
      <c r="G68" s="139">
        <f t="shared" si="19"/>
        <v>70</v>
      </c>
      <c r="H68" s="140">
        <f>G13</f>
        <v>5025</v>
      </c>
      <c r="I68" s="140">
        <f>$G13</f>
        <v>5025</v>
      </c>
      <c r="J68" s="140">
        <f>$G13</f>
        <v>5025</v>
      </c>
      <c r="K68" s="140">
        <f>$G13</f>
        <v>5025</v>
      </c>
      <c r="L68" s="139">
        <f t="shared" si="20"/>
        <v>70</v>
      </c>
      <c r="M68" s="140">
        <f t="shared" si="21"/>
        <v>5435.9436000000005</v>
      </c>
      <c r="N68" s="140">
        <f t="shared" si="21"/>
        <v>5779.728</v>
      </c>
      <c r="O68" s="140">
        <f t="shared" si="21"/>
        <v>7065.278478</v>
      </c>
      <c r="P68" s="139">
        <f aca="true" t="shared" si="25" ref="P68:P99">B13</f>
        <v>70</v>
      </c>
      <c r="Q68" s="140">
        <f aca="true" t="shared" si="26" ref="Q68:Q99">M13</f>
        <v>98778.4748125</v>
      </c>
      <c r="R68" s="140">
        <f aca="true" t="shared" si="27" ref="R68:R99">N13</f>
        <v>418.9600822770003</v>
      </c>
      <c r="S68" s="140">
        <f aca="true" t="shared" si="28" ref="S68:S99">P13</f>
        <v>769.4508564600003</v>
      </c>
      <c r="T68" s="140">
        <f aca="true" t="shared" si="29" ref="T68:T99">O13</f>
        <v>2080.079210409585</v>
      </c>
      <c r="U68" s="139"/>
      <c r="V68" s="139">
        <f>P68</f>
        <v>70</v>
      </c>
      <c r="W68" s="140">
        <f>Q68*IF('Inputs and Results'!$I$56=TRUE,(1-E13),IF('Inputs and Results'!$I$54=TRUE,(1-E13),1))</f>
        <v>98778.4748125</v>
      </c>
      <c r="X68" s="140">
        <f t="shared" si="22"/>
        <v>418.9600822770003</v>
      </c>
      <c r="Y68" s="140">
        <f t="shared" si="22"/>
        <v>769.4508564600003</v>
      </c>
      <c r="Z68" s="140">
        <f>T68</f>
        <v>2080.079210409585</v>
      </c>
      <c r="AA68" s="139"/>
      <c r="AB68" s="139"/>
      <c r="AC68" s="96"/>
    </row>
    <row r="69" spans="1:29" ht="12.75">
      <c r="A69" s="139">
        <f t="shared" si="23"/>
        <v>71</v>
      </c>
      <c r="B69" s="140">
        <f t="shared" si="24"/>
        <v>5175.75</v>
      </c>
      <c r="C69" s="140">
        <f>IF('Inputs and Results'!$I$54=TRUE,J14*(1-E14),J14-Y14)</f>
        <v>5599.021908000001</v>
      </c>
      <c r="D69" s="140">
        <f>IF('Inputs and Results'!$I$54=TRUE,L14*(1-E14),L14-AA14)</f>
        <v>5894.984700000001</v>
      </c>
      <c r="E69" s="140">
        <f>IF('Inputs and Results'!$I$54=TRUE,K14*(1-E14),K14-Z14)</f>
        <v>7065.278478</v>
      </c>
      <c r="F69" s="141">
        <f>IF(G69&lt;$G$5+$G$68,F68*(1+$C$4),F68*(1+$D$4))</f>
        <v>1.03</v>
      </c>
      <c r="G69" s="139">
        <f t="shared" si="19"/>
        <v>71</v>
      </c>
      <c r="H69" s="140">
        <f>IF(Q68&lt;0,0,G14)*IF($G69&gt;101,0,1)/IF($G$6=TRUE,F69,1)</f>
        <v>5025</v>
      </c>
      <c r="I69" s="140">
        <f>IF(R68&lt;0,C69,$G14)*IF(G69&gt;101,0,1)/IF($G$6=TRUE,F69,1)</f>
        <v>5025</v>
      </c>
      <c r="J69" s="140">
        <f>IF(S68&lt;0,D69,$G14)*IF(G69&gt;101,0,1)/IF($G$6=TRUE,F69,1)</f>
        <v>5025</v>
      </c>
      <c r="K69" s="140">
        <f>IF(T68&lt;0,E69,$G14)*IF(G69&gt;101,0,1)/IF($G$6=TRUE,F69,1)</f>
        <v>5025</v>
      </c>
      <c r="L69" s="139">
        <f t="shared" si="20"/>
        <v>71</v>
      </c>
      <c r="M69" s="140">
        <f aca="true" t="shared" si="30" ref="M69:M100">C69*IF($G69&gt;101,0,1)</f>
        <v>5599.021908000001</v>
      </c>
      <c r="N69" s="140">
        <f aca="true" t="shared" si="31" ref="N69:N100">D69*IF($G69&gt;101,0,1)</f>
        <v>5894.984700000001</v>
      </c>
      <c r="O69" s="140">
        <f aca="true" t="shared" si="32" ref="O69:O100">E69*IF($G69&gt;101,0,1)</f>
        <v>7065.278478</v>
      </c>
      <c r="P69" s="139">
        <f t="shared" si="25"/>
        <v>71</v>
      </c>
      <c r="Q69" s="140">
        <f t="shared" si="26"/>
        <v>97355.6010641847</v>
      </c>
      <c r="R69" s="140">
        <f t="shared" si="27"/>
        <v>866.8346946323477</v>
      </c>
      <c r="S69" s="140">
        <f t="shared" si="28"/>
        <v>1532.7361525350377</v>
      </c>
      <c r="T69" s="140">
        <f t="shared" si="29"/>
        <v>4087.6219555883</v>
      </c>
      <c r="U69" s="139"/>
      <c r="V69" s="139">
        <f aca="true" t="shared" si="33" ref="V69:V118">P69</f>
        <v>71</v>
      </c>
      <c r="W69" s="140">
        <f>Q69*IF('Inputs and Results'!$I$56=TRUE,(1-E14),IF('Inputs and Results'!$I$54=TRUE,(1-E14),1))</f>
        <v>97355.6010641847</v>
      </c>
      <c r="X69" s="140">
        <f>R69*IF($V69&gt;101,0,1)</f>
        <v>866.8346946323477</v>
      </c>
      <c r="Y69" s="140">
        <f>S69*IF($V69&gt;101,0,1)</f>
        <v>1532.7361525350377</v>
      </c>
      <c r="Z69" s="140">
        <f>T69*IF($V69&gt;101,0,1)</f>
        <v>4087.6219555883</v>
      </c>
      <c r="AA69" s="139"/>
      <c r="AB69" s="139"/>
      <c r="AC69" s="96"/>
    </row>
    <row r="70" spans="1:29" ht="12.75">
      <c r="A70" s="139">
        <f t="shared" si="23"/>
        <v>72</v>
      </c>
      <c r="B70" s="140">
        <f t="shared" si="24"/>
        <v>5331.0225</v>
      </c>
      <c r="C70" s="140">
        <f>IF('Inputs and Results'!$I$54=TRUE,J15*(1-E15),J15-Y15)</f>
        <v>5766.992565240001</v>
      </c>
      <c r="D70" s="140">
        <f>IF('Inputs and Results'!$I$54=TRUE,L15*(1-E15),L15-AA15)</f>
        <v>6013.699101000001</v>
      </c>
      <c r="E70" s="140">
        <f>IF('Inputs and Results'!$I$54=TRUE,K15*(1-E15),K15-Z15)</f>
        <v>7065.278478</v>
      </c>
      <c r="F70" s="141">
        <f aca="true" t="shared" si="34" ref="F70:F118">IF(G70&lt;$G$5+$G$68,F69*(1+$C$4),F69*(1+$D$4))</f>
        <v>1.0609</v>
      </c>
      <c r="G70" s="139">
        <f t="shared" si="19"/>
        <v>72</v>
      </c>
      <c r="H70" s="140">
        <f aca="true" t="shared" si="35" ref="H70:H118">IF(Q69&lt;0,0,G15)*IF($G70&gt;101,0,1)/IF($G$6=TRUE,F70,1)</f>
        <v>5025</v>
      </c>
      <c r="I70" s="140">
        <f aca="true" t="shared" si="36" ref="I70:I118">IF(R69&lt;0,C70,$G15)*IF(G70&gt;101,0,1)/IF($G$6=TRUE,F70,1)</f>
        <v>5025</v>
      </c>
      <c r="J70" s="140">
        <f aca="true" t="shared" si="37" ref="J70:J118">IF(S69&lt;0,D70,$G15)*IF(G70&gt;101,0,1)/IF($G$6=TRUE,F70,1)</f>
        <v>5025</v>
      </c>
      <c r="K70" s="140">
        <f aca="true" t="shared" si="38" ref="K70:K118">IF(T69&lt;0,E70,$G15)*IF(G70&gt;101,0,1)/IF($G$6=TRUE,F70,1)</f>
        <v>5025</v>
      </c>
      <c r="L70" s="139">
        <f t="shared" si="20"/>
        <v>72</v>
      </c>
      <c r="M70" s="140">
        <f t="shared" si="30"/>
        <v>5766.992565240001</v>
      </c>
      <c r="N70" s="140">
        <f t="shared" si="31"/>
        <v>6013.699101000001</v>
      </c>
      <c r="O70" s="140">
        <f t="shared" si="32"/>
        <v>7065.278478</v>
      </c>
      <c r="P70" s="139">
        <f t="shared" si="25"/>
        <v>72</v>
      </c>
      <c r="Q70" s="140">
        <f t="shared" si="26"/>
        <v>95718.91241828512</v>
      </c>
      <c r="R70" s="140">
        <f t="shared" si="27"/>
        <v>1345.1290015310988</v>
      </c>
      <c r="S70" s="140">
        <f t="shared" si="28"/>
        <v>2288.5297683202007</v>
      </c>
      <c r="T70" s="140">
        <f t="shared" si="29"/>
        <v>6015.187502676412</v>
      </c>
      <c r="U70" s="139"/>
      <c r="V70" s="139">
        <f t="shared" si="33"/>
        <v>72</v>
      </c>
      <c r="W70" s="140">
        <f>Q70*IF('Inputs and Results'!$I$56=TRUE,(1-E15),IF('Inputs and Results'!$I$54=TRUE,(1-E15),1))</f>
        <v>95718.91241828512</v>
      </c>
      <c r="X70" s="140">
        <f aca="true" t="shared" si="39" ref="X70:X118">R70*IF($V70&gt;101,0,1)</f>
        <v>1345.1290015310988</v>
      </c>
      <c r="Y70" s="140">
        <f aca="true" t="shared" si="40" ref="Y70:Y118">S70*IF($V70&gt;101,0,1)</f>
        <v>2288.5297683202007</v>
      </c>
      <c r="Z70" s="140">
        <f aca="true" t="shared" si="41" ref="Z70:Z118">T70*IF($V70&gt;101,0,1)</f>
        <v>6015.187502676412</v>
      </c>
      <c r="AA70" s="139"/>
      <c r="AB70" s="139"/>
      <c r="AC70" s="96"/>
    </row>
    <row r="71" spans="1:29" ht="12.75">
      <c r="A71" s="139">
        <f t="shared" si="23"/>
        <v>73</v>
      </c>
      <c r="B71" s="140">
        <f t="shared" si="24"/>
        <v>5490.953175000001</v>
      </c>
      <c r="C71" s="140">
        <f>IF('Inputs and Results'!$I$54=TRUE,J16*(1-E16),J16-Y16)</f>
        <v>5940.002342197201</v>
      </c>
      <c r="D71" s="140">
        <f>IF('Inputs and Results'!$I$54=TRUE,L16*(1-E16),L16-AA16)</f>
        <v>6135.974934030001</v>
      </c>
      <c r="E71" s="140">
        <f>IF('Inputs and Results'!$I$54=TRUE,K16*(1-E16),K16-Z16)</f>
        <v>7065.278478</v>
      </c>
      <c r="F71" s="141">
        <f t="shared" si="34"/>
        <v>1.092727</v>
      </c>
      <c r="G71" s="139">
        <f t="shared" si="19"/>
        <v>73</v>
      </c>
      <c r="H71" s="140">
        <f t="shared" si="35"/>
        <v>5025.000000000001</v>
      </c>
      <c r="I71" s="140">
        <f t="shared" si="36"/>
        <v>5025.000000000001</v>
      </c>
      <c r="J71" s="140">
        <f t="shared" si="37"/>
        <v>5025.000000000001</v>
      </c>
      <c r="K71" s="140">
        <f t="shared" si="38"/>
        <v>5025.000000000001</v>
      </c>
      <c r="L71" s="139">
        <f t="shared" si="20"/>
        <v>73</v>
      </c>
      <c r="M71" s="140">
        <f t="shared" si="30"/>
        <v>5940.002342197201</v>
      </c>
      <c r="N71" s="140">
        <f t="shared" si="31"/>
        <v>6135.974934030001</v>
      </c>
      <c r="O71" s="140">
        <f t="shared" si="32"/>
        <v>7065.278478</v>
      </c>
      <c r="P71" s="139">
        <f t="shared" si="25"/>
        <v>73</v>
      </c>
      <c r="Q71" s="140">
        <f t="shared" si="26"/>
        <v>93855.3178422232</v>
      </c>
      <c r="R71" s="140">
        <f t="shared" si="27"/>
        <v>1855.4182033521342</v>
      </c>
      <c r="S71" s="140">
        <f t="shared" si="28"/>
        <v>3035.4212782254917</v>
      </c>
      <c r="T71" s="140">
        <f t="shared" si="29"/>
        <v>7854.906496941604</v>
      </c>
      <c r="U71" s="139"/>
      <c r="V71" s="139">
        <f t="shared" si="33"/>
        <v>73</v>
      </c>
      <c r="W71" s="140">
        <f>Q71*IF('Inputs and Results'!$I$56=TRUE,(1-E16),IF('Inputs and Results'!$I$54=TRUE,(1-E16),1))</f>
        <v>93855.3178422232</v>
      </c>
      <c r="X71" s="140">
        <f t="shared" si="39"/>
        <v>1855.4182033521342</v>
      </c>
      <c r="Y71" s="140">
        <f t="shared" si="40"/>
        <v>3035.4212782254917</v>
      </c>
      <c r="Z71" s="140">
        <f t="shared" si="41"/>
        <v>7854.906496941604</v>
      </c>
      <c r="AA71" s="139"/>
      <c r="AB71" s="139"/>
      <c r="AC71" s="96"/>
    </row>
    <row r="72" spans="1:29" ht="12.75">
      <c r="A72" s="139">
        <f t="shared" si="23"/>
        <v>74</v>
      </c>
      <c r="B72" s="140">
        <f t="shared" si="24"/>
        <v>5655.681770250001</v>
      </c>
      <c r="C72" s="140">
        <f>IF('Inputs and Results'!$I$54=TRUE,J17*(1-E17),J17-Y17)</f>
        <v>6118.202412463117</v>
      </c>
      <c r="D72" s="140">
        <f>IF('Inputs and Results'!$I$54=TRUE,L17*(1-E17),L17-AA17)</f>
        <v>6261.919042050901</v>
      </c>
      <c r="E72" s="140">
        <f>IF('Inputs and Results'!$I$54=TRUE,K17*(1-E17),K17-Z17)</f>
        <v>7065.278478</v>
      </c>
      <c r="F72" s="141">
        <f t="shared" si="34"/>
        <v>1.1255088100000001</v>
      </c>
      <c r="G72" s="139">
        <f t="shared" si="19"/>
        <v>74</v>
      </c>
      <c r="H72" s="140">
        <f t="shared" si="35"/>
        <v>5025</v>
      </c>
      <c r="I72" s="140">
        <f t="shared" si="36"/>
        <v>5025</v>
      </c>
      <c r="J72" s="140">
        <f t="shared" si="37"/>
        <v>5025</v>
      </c>
      <c r="K72" s="140">
        <f t="shared" si="38"/>
        <v>5025</v>
      </c>
      <c r="L72" s="139">
        <f t="shared" si="20"/>
        <v>74</v>
      </c>
      <c r="M72" s="140">
        <f t="shared" si="30"/>
        <v>6118.202412463117</v>
      </c>
      <c r="N72" s="140">
        <f t="shared" si="31"/>
        <v>6261.919042050901</v>
      </c>
      <c r="O72" s="140">
        <f t="shared" si="32"/>
        <v>7065.278478</v>
      </c>
      <c r="P72" s="139">
        <f t="shared" si="25"/>
        <v>74</v>
      </c>
      <c r="Q72" s="140">
        <f t="shared" si="26"/>
        <v>91751.0730854544</v>
      </c>
      <c r="R72" s="140">
        <f t="shared" si="27"/>
        <v>2399.3506081970063</v>
      </c>
      <c r="S72" s="140">
        <f t="shared" si="28"/>
        <v>3771.9116847760156</v>
      </c>
      <c r="T72" s="140">
        <f t="shared" si="29"/>
        <v>9598.460089446213</v>
      </c>
      <c r="U72" s="139"/>
      <c r="V72" s="139">
        <f t="shared" si="33"/>
        <v>74</v>
      </c>
      <c r="W72" s="140">
        <f>Q72*IF('Inputs and Results'!$I$56=TRUE,(1-E17),IF('Inputs and Results'!$I$54=TRUE,(1-E17),1))</f>
        <v>91751.0730854544</v>
      </c>
      <c r="X72" s="140">
        <f t="shared" si="39"/>
        <v>2399.3506081970063</v>
      </c>
      <c r="Y72" s="140">
        <f t="shared" si="40"/>
        <v>3771.9116847760156</v>
      </c>
      <c r="Z72" s="140">
        <f t="shared" si="41"/>
        <v>9598.460089446213</v>
      </c>
      <c r="AA72" s="139"/>
      <c r="AB72" s="139"/>
      <c r="AC72" s="96"/>
    </row>
    <row r="73" spans="1:29" ht="12.75">
      <c r="A73" s="139">
        <f t="shared" si="23"/>
        <v>75</v>
      </c>
      <c r="B73" s="140">
        <f t="shared" si="24"/>
        <v>5825.352223357501</v>
      </c>
      <c r="C73" s="140">
        <f>IF('Inputs and Results'!$I$54=TRUE,J18*(1-E18),J18-Y18)</f>
        <v>6301.74848483701</v>
      </c>
      <c r="D73" s="140">
        <f>IF('Inputs and Results'!$I$54=TRUE,L18*(1-E18),L18-AA18)</f>
        <v>6391.641473312428</v>
      </c>
      <c r="E73" s="140">
        <f>IF('Inputs and Results'!$I$54=TRUE,K18*(1-E18),K18-Z18)</f>
        <v>7065.278478</v>
      </c>
      <c r="F73" s="141">
        <f t="shared" si="34"/>
        <v>1.1592740743</v>
      </c>
      <c r="G73" s="139">
        <f t="shared" si="19"/>
        <v>75</v>
      </c>
      <c r="H73" s="140">
        <f t="shared" si="35"/>
        <v>5025.000000000001</v>
      </c>
      <c r="I73" s="140">
        <f t="shared" si="36"/>
        <v>5025.000000000001</v>
      </c>
      <c r="J73" s="140">
        <f t="shared" si="37"/>
        <v>5025.000000000001</v>
      </c>
      <c r="K73" s="140">
        <f t="shared" si="38"/>
        <v>5025.000000000001</v>
      </c>
      <c r="L73" s="139">
        <f t="shared" si="20"/>
        <v>75</v>
      </c>
      <c r="M73" s="140">
        <f t="shared" si="30"/>
        <v>6301.74848483701</v>
      </c>
      <c r="N73" s="140">
        <f t="shared" si="31"/>
        <v>6391.641473312428</v>
      </c>
      <c r="O73" s="140">
        <f t="shared" si="32"/>
        <v>7065.278478</v>
      </c>
      <c r="P73" s="139">
        <f t="shared" si="25"/>
        <v>75</v>
      </c>
      <c r="Q73" s="140">
        <f t="shared" si="26"/>
        <v>89391.75092002875</v>
      </c>
      <c r="R73" s="140">
        <f t="shared" si="27"/>
        <v>2978.650833726133</v>
      </c>
      <c r="S73" s="140">
        <f t="shared" si="28"/>
        <v>4496.408956655975</v>
      </c>
      <c r="T73" s="140">
        <f t="shared" si="29"/>
        <v>11237.058125890893</v>
      </c>
      <c r="U73" s="139"/>
      <c r="V73" s="139">
        <f t="shared" si="33"/>
        <v>75</v>
      </c>
      <c r="W73" s="140">
        <f>Q73*IF('Inputs and Results'!$I$56=TRUE,(1-E18),IF('Inputs and Results'!$I$54=TRUE,(1-E18),1))</f>
        <v>89391.75092002875</v>
      </c>
      <c r="X73" s="140">
        <f t="shared" si="39"/>
        <v>2978.650833726133</v>
      </c>
      <c r="Y73" s="140">
        <f t="shared" si="40"/>
        <v>4496.408956655975</v>
      </c>
      <c r="Z73" s="140">
        <f t="shared" si="41"/>
        <v>11237.058125890893</v>
      </c>
      <c r="AA73" s="139"/>
      <c r="AB73" s="139"/>
      <c r="AC73" s="96"/>
    </row>
    <row r="74" spans="1:29" ht="12.75">
      <c r="A74" s="139">
        <f t="shared" si="23"/>
        <v>76</v>
      </c>
      <c r="B74" s="140">
        <f t="shared" si="24"/>
        <v>6000.112790058227</v>
      </c>
      <c r="C74" s="140">
        <f>IF('Inputs and Results'!$I$54=TRUE,J19*(1-E19),J19-Y19)</f>
        <v>6490.800939382121</v>
      </c>
      <c r="D74" s="140">
        <f>IF('Inputs and Results'!$I$54=TRUE,L19*(1-E19),L19-AA19)</f>
        <v>6525.255577511802</v>
      </c>
      <c r="E74" s="140">
        <f>IF('Inputs and Results'!$I$54=TRUE,K19*(1-E19),K19-Z19)</f>
        <v>7065.278478</v>
      </c>
      <c r="F74" s="141">
        <f t="shared" si="34"/>
        <v>1.1940522965290001</v>
      </c>
      <c r="G74" s="139">
        <f t="shared" si="19"/>
        <v>76</v>
      </c>
      <c r="H74" s="140">
        <f t="shared" si="35"/>
        <v>5025.000000000001</v>
      </c>
      <c r="I74" s="140">
        <f t="shared" si="36"/>
        <v>5025.000000000001</v>
      </c>
      <c r="J74" s="140">
        <f t="shared" si="37"/>
        <v>5025.000000000001</v>
      </c>
      <c r="K74" s="140">
        <f t="shared" si="38"/>
        <v>5025.000000000001</v>
      </c>
      <c r="L74" s="139">
        <f t="shared" si="20"/>
        <v>76</v>
      </c>
      <c r="M74" s="140">
        <f t="shared" si="30"/>
        <v>6490.800939382121</v>
      </c>
      <c r="N74" s="140">
        <f t="shared" si="31"/>
        <v>6525.255577511802</v>
      </c>
      <c r="O74" s="140">
        <f t="shared" si="32"/>
        <v>7065.278478</v>
      </c>
      <c r="P74" s="139">
        <f t="shared" si="25"/>
        <v>76</v>
      </c>
      <c r="Q74" s="140">
        <f t="shared" si="26"/>
        <v>86762.21009186338</v>
      </c>
      <c r="R74" s="140">
        <f t="shared" si="27"/>
        <v>3595.1231444007885</v>
      </c>
      <c r="S74" s="140">
        <f t="shared" si="28"/>
        <v>5207.223362479734</v>
      </c>
      <c r="T74" s="140">
        <f t="shared" si="29"/>
        <v>12761.416356271822</v>
      </c>
      <c r="U74" s="139"/>
      <c r="V74" s="139">
        <f t="shared" si="33"/>
        <v>76</v>
      </c>
      <c r="W74" s="140">
        <f>Q74*IF('Inputs and Results'!$I$56=TRUE,(1-E19),IF('Inputs and Results'!$I$54=TRUE,(1-E19),1))</f>
        <v>86762.21009186338</v>
      </c>
      <c r="X74" s="140">
        <f t="shared" si="39"/>
        <v>3595.1231444007885</v>
      </c>
      <c r="Y74" s="140">
        <f t="shared" si="40"/>
        <v>5207.223362479734</v>
      </c>
      <c r="Z74" s="140">
        <f t="shared" si="41"/>
        <v>12761.416356271822</v>
      </c>
      <c r="AA74" s="139"/>
      <c r="AB74" s="139"/>
      <c r="AC74" s="96"/>
    </row>
    <row r="75" spans="1:29" ht="12.75">
      <c r="A75" s="139">
        <f t="shared" si="23"/>
        <v>77</v>
      </c>
      <c r="B75" s="140">
        <f t="shared" si="24"/>
        <v>6180.116173759974</v>
      </c>
      <c r="C75" s="140">
        <f>IF('Inputs and Results'!$I$54=TRUE,J20*(1-E20),J20-Y20)</f>
        <v>6685.524967563585</v>
      </c>
      <c r="D75" s="140">
        <f>IF('Inputs and Results'!$I$54=TRUE,L20*(1-E20),L20-AA20)</f>
        <v>6662.878104837156</v>
      </c>
      <c r="E75" s="140">
        <f>IF('Inputs and Results'!$I$54=TRUE,K20*(1-E20),K20-Z20)</f>
        <v>7065.278478</v>
      </c>
      <c r="F75" s="141">
        <f t="shared" si="34"/>
        <v>1.2298738654248702</v>
      </c>
      <c r="G75" s="139">
        <f t="shared" si="19"/>
        <v>77</v>
      </c>
      <c r="H75" s="140">
        <f t="shared" si="35"/>
        <v>5025.000000000001</v>
      </c>
      <c r="I75" s="140">
        <f t="shared" si="36"/>
        <v>5025.000000000001</v>
      </c>
      <c r="J75" s="140">
        <f t="shared" si="37"/>
        <v>5025.000000000001</v>
      </c>
      <c r="K75" s="140">
        <f t="shared" si="38"/>
        <v>5025.000000000001</v>
      </c>
      <c r="L75" s="139">
        <f t="shared" si="20"/>
        <v>77</v>
      </c>
      <c r="M75" s="140">
        <f t="shared" si="30"/>
        <v>6685.524967563585</v>
      </c>
      <c r="N75" s="140">
        <f t="shared" si="31"/>
        <v>6662.878104837156</v>
      </c>
      <c r="O75" s="140">
        <f t="shared" si="32"/>
        <v>7065.278478</v>
      </c>
      <c r="P75" s="139">
        <f t="shared" si="25"/>
        <v>77</v>
      </c>
      <c r="Q75" s="140">
        <f t="shared" si="26"/>
        <v>83846.56292857783</v>
      </c>
      <c r="R75" s="140">
        <f t="shared" si="27"/>
        <v>4250.654929728321</v>
      </c>
      <c r="S75" s="140">
        <f t="shared" si="28"/>
        <v>5902.562591414551</v>
      </c>
      <c r="T75" s="140">
        <f t="shared" si="29"/>
        <v>14161.732623301754</v>
      </c>
      <c r="U75" s="139"/>
      <c r="V75" s="139">
        <f t="shared" si="33"/>
        <v>77</v>
      </c>
      <c r="W75" s="140">
        <f>Q75*IF('Inputs and Results'!$I$56=TRUE,(1-E20),IF('Inputs and Results'!$I$54=TRUE,(1-E20),1))</f>
        <v>83846.56292857783</v>
      </c>
      <c r="X75" s="140">
        <f t="shared" si="39"/>
        <v>4250.654929728321</v>
      </c>
      <c r="Y75" s="140">
        <f t="shared" si="40"/>
        <v>5902.562591414551</v>
      </c>
      <c r="Z75" s="140">
        <f t="shared" si="41"/>
        <v>14161.732623301754</v>
      </c>
      <c r="AA75" s="139"/>
      <c r="AB75" s="139"/>
      <c r="AC75" s="96"/>
    </row>
    <row r="76" spans="1:29" ht="12.75">
      <c r="A76" s="139">
        <f t="shared" si="23"/>
        <v>78</v>
      </c>
      <c r="B76" s="140">
        <f t="shared" si="24"/>
        <v>6365.519658972774</v>
      </c>
      <c r="C76" s="140">
        <f>IF('Inputs and Results'!$I$54=TRUE,J21*(1-E21),J21-Y21)</f>
        <v>6886.090716590493</v>
      </c>
      <c r="D76" s="140">
        <f>IF('Inputs and Results'!$I$54=TRUE,L21*(1-E21),L21-AA21)</f>
        <v>6804.629307982271</v>
      </c>
      <c r="E76" s="140">
        <f>IF('Inputs and Results'!$I$54=TRUE,K21*(1-E21),K21-Z21)</f>
        <v>7065.278478</v>
      </c>
      <c r="F76" s="141">
        <f t="shared" si="34"/>
        <v>1.2667700813876164</v>
      </c>
      <c r="G76" s="139">
        <f t="shared" si="19"/>
        <v>78</v>
      </c>
      <c r="H76" s="140">
        <f t="shared" si="35"/>
        <v>5025.000000000001</v>
      </c>
      <c r="I76" s="140">
        <f t="shared" si="36"/>
        <v>5025.000000000001</v>
      </c>
      <c r="J76" s="140">
        <f t="shared" si="37"/>
        <v>5025.000000000001</v>
      </c>
      <c r="K76" s="140">
        <f t="shared" si="38"/>
        <v>5025.000000000001</v>
      </c>
      <c r="L76" s="139">
        <f t="shared" si="20"/>
        <v>78</v>
      </c>
      <c r="M76" s="140">
        <f t="shared" si="30"/>
        <v>6886.090716590493</v>
      </c>
      <c r="N76" s="140">
        <f t="shared" si="31"/>
        <v>6804.629307982271</v>
      </c>
      <c r="O76" s="140">
        <f t="shared" si="32"/>
        <v>7065.278478</v>
      </c>
      <c r="P76" s="139">
        <f t="shared" si="25"/>
        <v>78</v>
      </c>
      <c r="Q76" s="140">
        <f t="shared" si="26"/>
        <v>80628.1415475161</v>
      </c>
      <c r="R76" s="140">
        <f t="shared" si="27"/>
        <v>4947.220329335868</v>
      </c>
      <c r="S76" s="140">
        <f t="shared" si="28"/>
        <v>6580.5266514061395</v>
      </c>
      <c r="T76" s="140">
        <f t="shared" si="29"/>
        <v>15427.661985789271</v>
      </c>
      <c r="U76" s="139"/>
      <c r="V76" s="139">
        <f t="shared" si="33"/>
        <v>78</v>
      </c>
      <c r="W76" s="140">
        <f>Q76*IF('Inputs and Results'!$I$56=TRUE,(1-E21),IF('Inputs and Results'!$I$54=TRUE,(1-E21),1))</f>
        <v>80628.1415475161</v>
      </c>
      <c r="X76" s="140">
        <f t="shared" si="39"/>
        <v>4947.220329335868</v>
      </c>
      <c r="Y76" s="140">
        <f t="shared" si="40"/>
        <v>6580.5266514061395</v>
      </c>
      <c r="Z76" s="140">
        <f t="shared" si="41"/>
        <v>15427.661985789271</v>
      </c>
      <c r="AA76" s="139"/>
      <c r="AB76" s="139"/>
      <c r="AC76" s="96"/>
    </row>
    <row r="77" spans="1:29" ht="12.75">
      <c r="A77" s="139">
        <f t="shared" si="23"/>
        <v>79</v>
      </c>
      <c r="B77" s="140">
        <f t="shared" si="24"/>
        <v>6556.485248741958</v>
      </c>
      <c r="C77" s="140">
        <f>IF('Inputs and Results'!$I$54=TRUE,J22*(1-E22),J22-Y22)</f>
        <v>7092.673438088208</v>
      </c>
      <c r="D77" s="140">
        <f>IF('Inputs and Results'!$I$54=TRUE,L22*(1-E22),L22-AA22)</f>
        <v>6950.633047221739</v>
      </c>
      <c r="E77" s="140">
        <f>IF('Inputs and Results'!$I$54=TRUE,K22*(1-E22),K22-Z22)</f>
        <v>7065.278478</v>
      </c>
      <c r="F77" s="141">
        <f t="shared" si="34"/>
        <v>1.304773183829245</v>
      </c>
      <c r="G77" s="139">
        <f t="shared" si="19"/>
        <v>79</v>
      </c>
      <c r="H77" s="140">
        <f t="shared" si="35"/>
        <v>5025.000000000002</v>
      </c>
      <c r="I77" s="140">
        <f t="shared" si="36"/>
        <v>5025.000000000002</v>
      </c>
      <c r="J77" s="140">
        <f t="shared" si="37"/>
        <v>5025.000000000002</v>
      </c>
      <c r="K77" s="140">
        <f t="shared" si="38"/>
        <v>5025.000000000002</v>
      </c>
      <c r="L77" s="139">
        <f t="shared" si="20"/>
        <v>79</v>
      </c>
      <c r="M77" s="140">
        <f t="shared" si="30"/>
        <v>7092.673438088208</v>
      </c>
      <c r="N77" s="140">
        <f t="shared" si="31"/>
        <v>6950.633047221739</v>
      </c>
      <c r="O77" s="140">
        <f t="shared" si="32"/>
        <v>7065.278478</v>
      </c>
      <c r="P77" s="139">
        <f t="shared" si="25"/>
        <v>79</v>
      </c>
      <c r="Q77" s="140">
        <f t="shared" si="26"/>
        <v>77089.46260526066</v>
      </c>
      <c r="R77" s="140">
        <f t="shared" si="27"/>
        <v>5686.884010934829</v>
      </c>
      <c r="S77" s="140">
        <f t="shared" si="28"/>
        <v>7239.102535369377</v>
      </c>
      <c r="T77" s="140">
        <f t="shared" si="29"/>
        <v>16548.290731342633</v>
      </c>
      <c r="U77" s="139"/>
      <c r="V77" s="139">
        <f t="shared" si="33"/>
        <v>79</v>
      </c>
      <c r="W77" s="140">
        <f>Q77*IF('Inputs and Results'!$I$56=TRUE,(1-E22),IF('Inputs and Results'!$I$54=TRUE,(1-E22),1))</f>
        <v>77089.46260526066</v>
      </c>
      <c r="X77" s="140">
        <f t="shared" si="39"/>
        <v>5686.884010934829</v>
      </c>
      <c r="Y77" s="140">
        <f t="shared" si="40"/>
        <v>7239.102535369377</v>
      </c>
      <c r="Z77" s="140">
        <f t="shared" si="41"/>
        <v>16548.290731342633</v>
      </c>
      <c r="AA77" s="139"/>
      <c r="AB77" s="139"/>
      <c r="AC77" s="96"/>
    </row>
    <row r="78" spans="1:29" ht="12.75">
      <c r="A78" s="139">
        <f t="shared" si="23"/>
        <v>80</v>
      </c>
      <c r="B78" s="140">
        <f t="shared" si="24"/>
        <v>6753.179806204216</v>
      </c>
      <c r="C78" s="140">
        <f>IF('Inputs and Results'!$I$54=TRUE,J23*(1-E23),J23-Y23)</f>
        <v>7060.5781001840105</v>
      </c>
      <c r="D78" s="140">
        <f>IF('Inputs and Results'!$I$54=TRUE,L23*(1-E23),L23-AA23)</f>
        <v>6860.349683463254</v>
      </c>
      <c r="E78" s="140">
        <f>IF('Inputs and Results'!$I$54=TRUE,K23*(1-E23),K23-Z23)</f>
        <v>6829.335186</v>
      </c>
      <c r="F78" s="141">
        <f t="shared" si="34"/>
        <v>1.370011843020707</v>
      </c>
      <c r="G78" s="139">
        <f t="shared" si="19"/>
        <v>80</v>
      </c>
      <c r="H78" s="140">
        <f t="shared" si="35"/>
        <v>4929.285714285716</v>
      </c>
      <c r="I78" s="140">
        <f t="shared" si="36"/>
        <v>4929.285714285716</v>
      </c>
      <c r="J78" s="140">
        <f t="shared" si="37"/>
        <v>4929.285714285716</v>
      </c>
      <c r="K78" s="140">
        <f t="shared" si="38"/>
        <v>4929.285714285716</v>
      </c>
      <c r="L78" s="139">
        <f t="shared" si="20"/>
        <v>80</v>
      </c>
      <c r="M78" s="140">
        <f t="shared" si="30"/>
        <v>7060.5781001840105</v>
      </c>
      <c r="N78" s="140">
        <f t="shared" si="31"/>
        <v>6860.349683463254</v>
      </c>
      <c r="O78" s="140">
        <f t="shared" si="32"/>
        <v>6829.335186</v>
      </c>
      <c r="P78" s="139">
        <f t="shared" si="25"/>
        <v>80</v>
      </c>
      <c r="Q78" s="140">
        <f t="shared" si="26"/>
        <v>71582.03034772292</v>
      </c>
      <c r="R78" s="140">
        <f t="shared" si="27"/>
        <v>6092.98816028355</v>
      </c>
      <c r="S78" s="140">
        <f t="shared" si="28"/>
        <v>7469.518830938994</v>
      </c>
      <c r="T78" s="140">
        <f t="shared" si="29"/>
        <v>16904.755737457377</v>
      </c>
      <c r="U78" s="139"/>
      <c r="V78" s="139">
        <f t="shared" si="33"/>
        <v>80</v>
      </c>
      <c r="W78" s="140">
        <f>Q78*IF('Inputs and Results'!$I$56=TRUE,(1-E23),IF('Inputs and Results'!$I$54=TRUE,(1-E23),1))</f>
        <v>71582.03034772292</v>
      </c>
      <c r="X78" s="140">
        <f t="shared" si="39"/>
        <v>6092.98816028355</v>
      </c>
      <c r="Y78" s="140">
        <f t="shared" si="40"/>
        <v>7469.518830938994</v>
      </c>
      <c r="Z78" s="140">
        <f t="shared" si="41"/>
        <v>16904.755737457377</v>
      </c>
      <c r="AA78" s="139"/>
      <c r="AB78" s="139"/>
      <c r="AC78" s="96"/>
    </row>
    <row r="79" spans="1:29" ht="12.75">
      <c r="A79" s="139">
        <f t="shared" si="23"/>
        <v>81</v>
      </c>
      <c r="B79" s="140">
        <f t="shared" si="24"/>
        <v>7090.8387965144275</v>
      </c>
      <c r="C79" s="140">
        <f>IF('Inputs and Results'!$I$54=TRUE,J24*(1-E24),J24-Y24)</f>
        <v>7272.395443189531</v>
      </c>
      <c r="D79" s="140">
        <f>IF('Inputs and Results'!$I$54=TRUE,L24*(1-E24),L24-AA24)</f>
        <v>7078.791867636417</v>
      </c>
      <c r="E79" s="140">
        <f>IF('Inputs and Results'!$I$54=TRUE,K24*(1-E24),K24-Z24)</f>
        <v>6829.335186</v>
      </c>
      <c r="F79" s="141">
        <f t="shared" si="34"/>
        <v>1.4385124351717424</v>
      </c>
      <c r="G79" s="139">
        <f t="shared" si="19"/>
        <v>81</v>
      </c>
      <c r="H79" s="140">
        <f t="shared" si="35"/>
        <v>4929.2857142857165</v>
      </c>
      <c r="I79" s="140">
        <f t="shared" si="36"/>
        <v>4929.2857142857165</v>
      </c>
      <c r="J79" s="140">
        <f t="shared" si="37"/>
        <v>4929.2857142857165</v>
      </c>
      <c r="K79" s="140">
        <f t="shared" si="38"/>
        <v>4929.2857142857165</v>
      </c>
      <c r="L79" s="139">
        <f t="shared" si="20"/>
        <v>81</v>
      </c>
      <c r="M79" s="140">
        <f t="shared" si="30"/>
        <v>7272.395443189531</v>
      </c>
      <c r="N79" s="140">
        <f t="shared" si="31"/>
        <v>7078.791867636417</v>
      </c>
      <c r="O79" s="140">
        <f t="shared" si="32"/>
        <v>6829.335186</v>
      </c>
      <c r="P79" s="139">
        <f t="shared" si="25"/>
        <v>81</v>
      </c>
      <c r="Q79" s="140">
        <f t="shared" si="26"/>
        <v>65641.01027625444</v>
      </c>
      <c r="R79" s="140">
        <f t="shared" si="27"/>
        <v>6379.050460531851</v>
      </c>
      <c r="S79" s="140">
        <f t="shared" si="28"/>
        <v>7583.604973754834</v>
      </c>
      <c r="T79" s="140">
        <f t="shared" si="29"/>
        <v>16926.732793397136</v>
      </c>
      <c r="U79" s="139"/>
      <c r="V79" s="139">
        <f t="shared" si="33"/>
        <v>81</v>
      </c>
      <c r="W79" s="140">
        <f>Q79*IF('Inputs and Results'!$I$56=TRUE,(1-E24),IF('Inputs and Results'!$I$54=TRUE,(1-E24),1))</f>
        <v>65641.01027625444</v>
      </c>
      <c r="X79" s="140">
        <f t="shared" si="39"/>
        <v>6379.050460531851</v>
      </c>
      <c r="Y79" s="140">
        <f t="shared" si="40"/>
        <v>7583.604973754834</v>
      </c>
      <c r="Z79" s="140">
        <f t="shared" si="41"/>
        <v>16926.732793397136</v>
      </c>
      <c r="AA79" s="139"/>
      <c r="AB79" s="139"/>
      <c r="AC79" s="96"/>
    </row>
    <row r="80" spans="1:29" ht="12.75">
      <c r="A80" s="139">
        <f t="shared" si="23"/>
        <v>82</v>
      </c>
      <c r="B80" s="140">
        <f t="shared" si="24"/>
        <v>7445.380736340149</v>
      </c>
      <c r="C80" s="140">
        <f>IF('Inputs and Results'!$I$54=TRUE,J25*(1-E25),J25-Y25)</f>
        <v>7490.567306485218</v>
      </c>
      <c r="D80" s="140">
        <f>IF('Inputs and Results'!$I$54=TRUE,L25*(1-E25),L25-AA25)</f>
        <v>7308.156161018238</v>
      </c>
      <c r="E80" s="140">
        <f>IF('Inputs and Results'!$I$54=TRUE,K25*(1-E25),K25-Z25)</f>
        <v>6829.335186</v>
      </c>
      <c r="F80" s="141">
        <f t="shared" si="34"/>
        <v>1.5104380569303295</v>
      </c>
      <c r="G80" s="139">
        <f t="shared" si="19"/>
        <v>82</v>
      </c>
      <c r="H80" s="140">
        <f t="shared" si="35"/>
        <v>4929.2857142857165</v>
      </c>
      <c r="I80" s="140">
        <f t="shared" si="36"/>
        <v>4929.2857142857165</v>
      </c>
      <c r="J80" s="140">
        <f t="shared" si="37"/>
        <v>4929.2857142857165</v>
      </c>
      <c r="K80" s="140">
        <f t="shared" si="38"/>
        <v>4929.2857142857165</v>
      </c>
      <c r="L80" s="139">
        <f t="shared" si="20"/>
        <v>82</v>
      </c>
      <c r="M80" s="140">
        <f t="shared" si="30"/>
        <v>7490.567306485218</v>
      </c>
      <c r="N80" s="140">
        <f t="shared" si="31"/>
        <v>7308.156161018238</v>
      </c>
      <c r="O80" s="140">
        <f t="shared" si="32"/>
        <v>6829.335186</v>
      </c>
      <c r="P80" s="139">
        <f t="shared" si="25"/>
        <v>82</v>
      </c>
      <c r="Q80" s="140">
        <f t="shared" si="26"/>
        <v>59242.04914636092</v>
      </c>
      <c r="R80" s="140">
        <f t="shared" si="27"/>
        <v>6532.424809977632</v>
      </c>
      <c r="S80" s="140">
        <f t="shared" si="28"/>
        <v>7573.3837748279075</v>
      </c>
      <c r="T80" s="140">
        <f t="shared" si="29"/>
        <v>16591.543442365026</v>
      </c>
      <c r="U80" s="139"/>
      <c r="V80" s="139">
        <f t="shared" si="33"/>
        <v>82</v>
      </c>
      <c r="W80" s="140">
        <f>Q80*IF('Inputs and Results'!$I$56=TRUE,(1-E25),IF('Inputs and Results'!$I$54=TRUE,(1-E25),1))</f>
        <v>59242.04914636092</v>
      </c>
      <c r="X80" s="140">
        <f t="shared" si="39"/>
        <v>6532.424809977632</v>
      </c>
      <c r="Y80" s="140">
        <f t="shared" si="40"/>
        <v>7573.3837748279075</v>
      </c>
      <c r="Z80" s="140">
        <f t="shared" si="41"/>
        <v>16591.543442365026</v>
      </c>
      <c r="AA80" s="139"/>
      <c r="AB80" s="139"/>
      <c r="AC80" s="96"/>
    </row>
    <row r="81" spans="1:29" ht="12.75">
      <c r="A81" s="139">
        <f t="shared" si="23"/>
        <v>83</v>
      </c>
      <c r="B81" s="140">
        <f t="shared" si="24"/>
        <v>7817.649773157157</v>
      </c>
      <c r="C81" s="140">
        <f>IF('Inputs and Results'!$I$54=TRUE,J26*(1-E26),J26-Y26)</f>
        <v>7715.284325679774</v>
      </c>
      <c r="D81" s="140">
        <f>IF('Inputs and Results'!$I$54=TRUE,L26*(1-E26),L26-AA26)</f>
        <v>7548.988669069149</v>
      </c>
      <c r="E81" s="140">
        <f>IF('Inputs and Results'!$I$54=TRUE,K26*(1-E26),K26-Z26)</f>
        <v>6829.335186</v>
      </c>
      <c r="F81" s="141">
        <f t="shared" si="34"/>
        <v>1.5859599597768461</v>
      </c>
      <c r="G81" s="139">
        <f t="shared" si="19"/>
        <v>83</v>
      </c>
      <c r="H81" s="140">
        <f t="shared" si="35"/>
        <v>4929.2857142857165</v>
      </c>
      <c r="I81" s="140">
        <f t="shared" si="36"/>
        <v>4929.2857142857165</v>
      </c>
      <c r="J81" s="140">
        <f t="shared" si="37"/>
        <v>4929.2857142857165</v>
      </c>
      <c r="K81" s="140">
        <f t="shared" si="38"/>
        <v>4929.2857142857165</v>
      </c>
      <c r="L81" s="139">
        <f t="shared" si="20"/>
        <v>83</v>
      </c>
      <c r="M81" s="140">
        <f t="shared" si="30"/>
        <v>7715.284325679774</v>
      </c>
      <c r="N81" s="140">
        <f t="shared" si="31"/>
        <v>7548.988669069149</v>
      </c>
      <c r="O81" s="140">
        <f t="shared" si="32"/>
        <v>6829.335186</v>
      </c>
      <c r="P81" s="139">
        <f t="shared" si="25"/>
        <v>83</v>
      </c>
      <c r="Q81" s="140">
        <f t="shared" si="26"/>
        <v>52359.53086319408</v>
      </c>
      <c r="R81" s="140">
        <f t="shared" si="27"/>
        <v>6539.592353757687</v>
      </c>
      <c r="S81" s="140">
        <f t="shared" si="28"/>
        <v>7430.442670204948</v>
      </c>
      <c r="T81" s="140">
        <f t="shared" si="29"/>
        <v>15875.274681122357</v>
      </c>
      <c r="U81" s="139"/>
      <c r="V81" s="139">
        <f t="shared" si="33"/>
        <v>83</v>
      </c>
      <c r="W81" s="140">
        <f>Q81*IF('Inputs and Results'!$I$56=TRUE,(1-E26),IF('Inputs and Results'!$I$54=TRUE,(1-E26),1))</f>
        <v>52359.53086319408</v>
      </c>
      <c r="X81" s="140">
        <f t="shared" si="39"/>
        <v>6539.592353757687</v>
      </c>
      <c r="Y81" s="140">
        <f t="shared" si="40"/>
        <v>7430.442670204948</v>
      </c>
      <c r="Z81" s="140">
        <f t="shared" si="41"/>
        <v>15875.274681122357</v>
      </c>
      <c r="AA81" s="139"/>
      <c r="AB81" s="139"/>
      <c r="AC81" s="96"/>
    </row>
    <row r="82" spans="1:29" ht="12.75">
      <c r="A82" s="139">
        <f t="shared" si="23"/>
        <v>84</v>
      </c>
      <c r="B82" s="140">
        <f t="shared" si="24"/>
        <v>8208.532261815015</v>
      </c>
      <c r="C82" s="140">
        <f>IF('Inputs and Results'!$I$54=TRUE,J27*(1-E27),J27-Y27)</f>
        <v>7946.742855450167</v>
      </c>
      <c r="D82" s="140">
        <f>IF('Inputs and Results'!$I$54=TRUE,L27*(1-E27),L27-AA27)</f>
        <v>7801.862802522607</v>
      </c>
      <c r="E82" s="140">
        <f>IF('Inputs and Results'!$I$54=TRUE,K27*(1-E27),K27-Z27)</f>
        <v>6829.335186</v>
      </c>
      <c r="F82" s="141">
        <f t="shared" si="34"/>
        <v>1.6652579577656885</v>
      </c>
      <c r="G82" s="139">
        <f t="shared" si="19"/>
        <v>84</v>
      </c>
      <c r="H82" s="140">
        <f t="shared" si="35"/>
        <v>4929.2857142857165</v>
      </c>
      <c r="I82" s="140">
        <f t="shared" si="36"/>
        <v>4929.2857142857165</v>
      </c>
      <c r="J82" s="140">
        <f t="shared" si="37"/>
        <v>4929.2857142857165</v>
      </c>
      <c r="K82" s="140">
        <f t="shared" si="38"/>
        <v>4929.2857142857165</v>
      </c>
      <c r="L82" s="139">
        <f t="shared" si="20"/>
        <v>84</v>
      </c>
      <c r="M82" s="140">
        <f t="shared" si="30"/>
        <v>7946.742855450167</v>
      </c>
      <c r="N82" s="140">
        <f t="shared" si="31"/>
        <v>7801.862802522607</v>
      </c>
      <c r="O82" s="140">
        <f t="shared" si="32"/>
        <v>6829.335186</v>
      </c>
      <c r="P82" s="139">
        <f t="shared" si="25"/>
        <v>84</v>
      </c>
      <c r="Q82" s="140">
        <f t="shared" si="26"/>
        <v>44966.51257535471</v>
      </c>
      <c r="R82" s="140">
        <f t="shared" si="27"/>
        <v>6386.109937687562</v>
      </c>
      <c r="S82" s="140">
        <f t="shared" si="28"/>
        <v>7145.911335107983</v>
      </c>
      <c r="T82" s="140">
        <f t="shared" si="29"/>
        <v>14752.71553212767</v>
      </c>
      <c r="U82" s="139"/>
      <c r="V82" s="139">
        <f t="shared" si="33"/>
        <v>84</v>
      </c>
      <c r="W82" s="140">
        <f>Q82*IF('Inputs and Results'!$I$56=TRUE,(1-E27),IF('Inputs and Results'!$I$54=TRUE,(1-E27),1))</f>
        <v>44966.51257535471</v>
      </c>
      <c r="X82" s="140">
        <f t="shared" si="39"/>
        <v>6386.109937687562</v>
      </c>
      <c r="Y82" s="140">
        <f t="shared" si="40"/>
        <v>7145.911335107983</v>
      </c>
      <c r="Z82" s="140">
        <f t="shared" si="41"/>
        <v>14752.71553212767</v>
      </c>
      <c r="AA82" s="139"/>
      <c r="AB82" s="139"/>
      <c r="AC82" s="96"/>
    </row>
    <row r="83" spans="1:29" ht="12.75">
      <c r="A83" s="139">
        <f t="shared" si="23"/>
        <v>85</v>
      </c>
      <c r="B83" s="140">
        <f t="shared" si="24"/>
        <v>8618.958874905766</v>
      </c>
      <c r="C83" s="140">
        <f>IF('Inputs and Results'!$I$54=TRUE,J28*(1-E28),J28-Y28)</f>
        <v>8185.145141113673</v>
      </c>
      <c r="D83" s="140">
        <f>IF('Inputs and Results'!$I$54=TRUE,L28*(1-E28),L28-AA28)</f>
        <v>8067.380642648737</v>
      </c>
      <c r="E83" s="140">
        <f>IF('Inputs and Results'!$I$54=TRUE,K28*(1-E28),K28-Z28)</f>
        <v>6829.335186</v>
      </c>
      <c r="F83" s="141">
        <f t="shared" si="34"/>
        <v>1.748520855653973</v>
      </c>
      <c r="G83" s="139">
        <f t="shared" si="19"/>
        <v>85</v>
      </c>
      <c r="H83" s="140">
        <f t="shared" si="35"/>
        <v>4929.285714285716</v>
      </c>
      <c r="I83" s="140">
        <f t="shared" si="36"/>
        <v>4929.285714285716</v>
      </c>
      <c r="J83" s="140">
        <f t="shared" si="37"/>
        <v>4929.285714285716</v>
      </c>
      <c r="K83" s="140">
        <f t="shared" si="38"/>
        <v>4929.285714285716</v>
      </c>
      <c r="L83" s="139">
        <f t="shared" si="20"/>
        <v>85</v>
      </c>
      <c r="M83" s="140">
        <f t="shared" si="30"/>
        <v>8185.145141113673</v>
      </c>
      <c r="N83" s="140">
        <f t="shared" si="31"/>
        <v>8067.380642648737</v>
      </c>
      <c r="O83" s="140">
        <f t="shared" si="32"/>
        <v>6829.335186</v>
      </c>
      <c r="P83" s="139">
        <f t="shared" si="25"/>
        <v>85</v>
      </c>
      <c r="Q83" s="140">
        <f t="shared" si="26"/>
        <v>37034.65756047949</v>
      </c>
      <c r="R83" s="140">
        <f t="shared" si="27"/>
        <v>6056.555735791845</v>
      </c>
      <c r="S83" s="140">
        <f t="shared" si="28"/>
        <v>6710.438168351707</v>
      </c>
      <c r="T83" s="140">
        <f t="shared" si="29"/>
        <v>13197.290415543606</v>
      </c>
      <c r="U83" s="139"/>
      <c r="V83" s="139">
        <f t="shared" si="33"/>
        <v>85</v>
      </c>
      <c r="W83" s="140">
        <f>Q83*IF('Inputs and Results'!$I$56=TRUE,(1-E28),IF('Inputs and Results'!$I$54=TRUE,(1-E28),1))</f>
        <v>37034.65756047949</v>
      </c>
      <c r="X83" s="140">
        <f t="shared" si="39"/>
        <v>6056.555735791845</v>
      </c>
      <c r="Y83" s="140">
        <f t="shared" si="40"/>
        <v>6710.438168351707</v>
      </c>
      <c r="Z83" s="140">
        <f t="shared" si="41"/>
        <v>13197.290415543606</v>
      </c>
      <c r="AA83" s="139"/>
      <c r="AB83" s="139"/>
      <c r="AC83" s="96"/>
    </row>
    <row r="84" spans="1:29" ht="12.75">
      <c r="A84" s="139">
        <f t="shared" si="23"/>
        <v>86</v>
      </c>
      <c r="B84" s="140">
        <f t="shared" si="24"/>
        <v>9049.906818651054</v>
      </c>
      <c r="C84" s="140">
        <f>IF('Inputs and Results'!$I$54=TRUE,J29*(1-E29),J29-Y29)</f>
        <v>8430.699495347084</v>
      </c>
      <c r="D84" s="140">
        <f>IF('Inputs and Results'!$I$54=TRUE,L29*(1-E29),L29-AA29)</f>
        <v>8346.174374781174</v>
      </c>
      <c r="E84" s="140">
        <f>IF('Inputs and Results'!$I$54=TRUE,K29*(1-E29),K29-Z29)</f>
        <v>6829.335186</v>
      </c>
      <c r="F84" s="141">
        <f t="shared" si="34"/>
        <v>1.8359468984366718</v>
      </c>
      <c r="G84" s="139">
        <f t="shared" si="19"/>
        <v>86</v>
      </c>
      <c r="H84" s="140">
        <f t="shared" si="35"/>
        <v>4929.285714285716</v>
      </c>
      <c r="I84" s="140">
        <f t="shared" si="36"/>
        <v>4929.285714285716</v>
      </c>
      <c r="J84" s="140">
        <f t="shared" si="37"/>
        <v>4929.285714285716</v>
      </c>
      <c r="K84" s="140">
        <f t="shared" si="38"/>
        <v>4929.285714285716</v>
      </c>
      <c r="L84" s="139">
        <f t="shared" si="20"/>
        <v>86</v>
      </c>
      <c r="M84" s="140">
        <f t="shared" si="30"/>
        <v>8430.699495347084</v>
      </c>
      <c r="N84" s="140">
        <f t="shared" si="31"/>
        <v>8346.174374781174</v>
      </c>
      <c r="O84" s="140">
        <f t="shared" si="32"/>
        <v>6829.335186</v>
      </c>
      <c r="P84" s="139">
        <f t="shared" si="25"/>
        <v>86</v>
      </c>
      <c r="Q84" s="140">
        <f t="shared" si="26"/>
        <v>28534.16474198294</v>
      </c>
      <c r="R84" s="140">
        <f t="shared" si="27"/>
        <v>5534.4719025408385</v>
      </c>
      <c r="S84" s="140">
        <f t="shared" si="28"/>
        <v>6114.165590376269</v>
      </c>
      <c r="T84" s="140">
        <f t="shared" si="29"/>
        <v>11180.989160619336</v>
      </c>
      <c r="U84" s="139"/>
      <c r="V84" s="139">
        <f t="shared" si="33"/>
        <v>86</v>
      </c>
      <c r="W84" s="140">
        <f>Q84*IF('Inputs and Results'!$I$56=TRUE,(1-E29),IF('Inputs and Results'!$I$54=TRUE,(1-E29),1))</f>
        <v>28534.16474198294</v>
      </c>
      <c r="X84" s="140">
        <f t="shared" si="39"/>
        <v>5534.4719025408385</v>
      </c>
      <c r="Y84" s="140">
        <f t="shared" si="40"/>
        <v>6114.165590376269</v>
      </c>
      <c r="Z84" s="140">
        <f t="shared" si="41"/>
        <v>11180.989160619336</v>
      </c>
      <c r="AA84" s="139"/>
      <c r="AB84" s="139"/>
      <c r="AC84" s="96"/>
    </row>
    <row r="85" spans="1:29" ht="12.75">
      <c r="A85" s="139">
        <f t="shared" si="23"/>
        <v>87</v>
      </c>
      <c r="B85" s="140">
        <f t="shared" si="24"/>
        <v>9502.402159583607</v>
      </c>
      <c r="C85" s="140">
        <f>IF('Inputs and Results'!$I$54=TRUE,J30*(1-E30),J30-Y30)</f>
        <v>8683.620480207497</v>
      </c>
      <c r="D85" s="140">
        <f>IF('Inputs and Results'!$I$54=TRUE,L30*(1-E30),L30-AA30)</f>
        <v>8638.907793520233</v>
      </c>
      <c r="E85" s="140">
        <f>IF('Inputs and Results'!$I$54=TRUE,K30*(1-E30),K30-Z30)</f>
        <v>6829.335186</v>
      </c>
      <c r="F85" s="141">
        <f t="shared" si="34"/>
        <v>1.9277442433585055</v>
      </c>
      <c r="G85" s="139">
        <f t="shared" si="19"/>
        <v>87</v>
      </c>
      <c r="H85" s="140">
        <f t="shared" si="35"/>
        <v>4929.285714285716</v>
      </c>
      <c r="I85" s="140">
        <f t="shared" si="36"/>
        <v>4929.285714285716</v>
      </c>
      <c r="J85" s="140">
        <f t="shared" si="37"/>
        <v>4929.285714285716</v>
      </c>
      <c r="K85" s="140">
        <f t="shared" si="38"/>
        <v>4929.285714285716</v>
      </c>
      <c r="L85" s="139">
        <f t="shared" si="20"/>
        <v>87</v>
      </c>
      <c r="M85" s="140">
        <f t="shared" si="30"/>
        <v>8683.620480207497</v>
      </c>
      <c r="N85" s="140">
        <f t="shared" si="31"/>
        <v>8638.907793520233</v>
      </c>
      <c r="O85" s="140">
        <f t="shared" si="32"/>
        <v>6829.335186</v>
      </c>
      <c r="P85" s="139">
        <f t="shared" si="25"/>
        <v>87</v>
      </c>
      <c r="Q85" s="140">
        <f t="shared" si="26"/>
        <v>19433.694668290358</v>
      </c>
      <c r="R85" s="140">
        <f t="shared" si="27"/>
        <v>4802.304093126939</v>
      </c>
      <c r="S85" s="140">
        <f t="shared" si="28"/>
        <v>5346.704095397018</v>
      </c>
      <c r="T85" s="140">
        <f t="shared" si="29"/>
        <v>8674.29348792341</v>
      </c>
      <c r="U85" s="139"/>
      <c r="V85" s="139">
        <f t="shared" si="33"/>
        <v>87</v>
      </c>
      <c r="W85" s="140">
        <f>Q85*IF('Inputs and Results'!$I$56=TRUE,(1-E30),IF('Inputs and Results'!$I$54=TRUE,(1-E30),1))</f>
        <v>19433.694668290358</v>
      </c>
      <c r="X85" s="140">
        <f t="shared" si="39"/>
        <v>4802.304093126939</v>
      </c>
      <c r="Y85" s="140">
        <f t="shared" si="40"/>
        <v>5346.704095397018</v>
      </c>
      <c r="Z85" s="140">
        <f t="shared" si="41"/>
        <v>8674.29348792341</v>
      </c>
      <c r="AA85" s="139"/>
      <c r="AB85" s="139"/>
      <c r="AC85" s="96"/>
    </row>
    <row r="86" spans="1:29" ht="12.75">
      <c r="A86" s="139">
        <f t="shared" si="23"/>
        <v>88</v>
      </c>
      <c r="B86" s="140">
        <f t="shared" si="24"/>
        <v>9977.522267562788</v>
      </c>
      <c r="C86" s="140">
        <f>IF('Inputs and Results'!$I$54=TRUE,J31*(1-E31),J31-Y31)</f>
        <v>5687.018499465373</v>
      </c>
      <c r="D86" s="140">
        <f>IF('Inputs and Results'!$I$54=TRUE,L31*(1-E31),L31-AA31)</f>
        <v>6454.771883196245</v>
      </c>
      <c r="E86" s="140">
        <f>IF('Inputs and Results'!$I$54=TRUE,K31*(1-E31),K31-Z31)</f>
        <v>4340.094</v>
      </c>
      <c r="F86" s="141">
        <f t="shared" si="34"/>
        <v>2.024131455526431</v>
      </c>
      <c r="G86" s="139">
        <f t="shared" si="19"/>
        <v>88</v>
      </c>
      <c r="H86" s="140">
        <f t="shared" si="35"/>
        <v>4929.285714285716</v>
      </c>
      <c r="I86" s="140">
        <f t="shared" si="36"/>
        <v>4929.285714285716</v>
      </c>
      <c r="J86" s="140">
        <f t="shared" si="37"/>
        <v>4929.285714285716</v>
      </c>
      <c r="K86" s="140">
        <f t="shared" si="38"/>
        <v>4929.285714285716</v>
      </c>
      <c r="L86" s="139">
        <f t="shared" si="20"/>
        <v>88</v>
      </c>
      <c r="M86" s="140">
        <f t="shared" si="30"/>
        <v>5687.018499465373</v>
      </c>
      <c r="N86" s="140">
        <f t="shared" si="31"/>
        <v>6454.771883196245</v>
      </c>
      <c r="O86" s="140">
        <f t="shared" si="32"/>
        <v>4340.094</v>
      </c>
      <c r="P86" s="139">
        <f t="shared" si="25"/>
        <v>88</v>
      </c>
      <c r="Q86" s="140">
        <f t="shared" si="26"/>
        <v>9700.29177746077</v>
      </c>
      <c r="R86" s="140">
        <f t="shared" si="27"/>
        <v>556.7045073629452</v>
      </c>
      <c r="S86" s="140">
        <f t="shared" si="28"/>
        <v>1884.5457694947868</v>
      </c>
      <c r="T86" s="140">
        <f t="shared" si="29"/>
        <v>3135.8245114456226</v>
      </c>
      <c r="U86" s="139"/>
      <c r="V86" s="139">
        <f t="shared" si="33"/>
        <v>88</v>
      </c>
      <c r="W86" s="140">
        <f>Q86*IF('Inputs and Results'!$I$56=TRUE,(1-E31),IF('Inputs and Results'!$I$54=TRUE,(1-E31),1))</f>
        <v>9700.29177746077</v>
      </c>
      <c r="X86" s="140">
        <f t="shared" si="39"/>
        <v>556.7045073629452</v>
      </c>
      <c r="Y86" s="140">
        <f t="shared" si="40"/>
        <v>1884.5457694947868</v>
      </c>
      <c r="Z86" s="140">
        <f t="shared" si="41"/>
        <v>3135.8245114456226</v>
      </c>
      <c r="AA86" s="139"/>
      <c r="AB86" s="139"/>
      <c r="AC86" s="96"/>
    </row>
    <row r="87" spans="1:29" ht="12.75">
      <c r="A87" s="139">
        <f t="shared" si="23"/>
        <v>89</v>
      </c>
      <c r="B87" s="140">
        <f t="shared" si="24"/>
        <v>10476.398380940927</v>
      </c>
      <c r="C87" s="140">
        <f>IF('Inputs and Results'!$I$54=TRUE,J32*(1-E32),J32-Y32)</f>
        <v>5857.629054449334</v>
      </c>
      <c r="D87" s="140">
        <f>IF('Inputs and Results'!$I$54=TRUE,L32*(1-E32),L32-AA32)</f>
        <v>6777.510477356057</v>
      </c>
      <c r="E87" s="140">
        <f>IF('Inputs and Results'!$I$54=TRUE,K32*(1-E32),K32-Z32)</f>
        <v>4340.094</v>
      </c>
      <c r="F87" s="141">
        <f t="shared" si="34"/>
        <v>2.1253380283027528</v>
      </c>
      <c r="G87" s="139">
        <f t="shared" si="19"/>
        <v>89</v>
      </c>
      <c r="H87" s="140">
        <f t="shared" si="35"/>
        <v>4929.285714285715</v>
      </c>
      <c r="I87" s="140">
        <f t="shared" si="36"/>
        <v>4929.285714285715</v>
      </c>
      <c r="J87" s="140">
        <f t="shared" si="37"/>
        <v>4929.285714285715</v>
      </c>
      <c r="K87" s="140">
        <f t="shared" si="38"/>
        <v>4929.285714285715</v>
      </c>
      <c r="L87" s="139">
        <f t="shared" si="20"/>
        <v>89</v>
      </c>
      <c r="M87" s="140">
        <f t="shared" si="30"/>
        <v>5857.629054449334</v>
      </c>
      <c r="N87" s="140">
        <f t="shared" si="31"/>
        <v>6777.510477356057</v>
      </c>
      <c r="O87" s="140">
        <f t="shared" si="32"/>
        <v>4340.094</v>
      </c>
      <c r="P87" s="139">
        <f t="shared" si="25"/>
        <v>89</v>
      </c>
      <c r="Q87" s="140">
        <f t="shared" si="26"/>
        <v>-700.6972387600208</v>
      </c>
      <c r="R87" s="140">
        <f t="shared" si="27"/>
        <v>-4091.6851137630683</v>
      </c>
      <c r="S87" s="140">
        <f t="shared" si="28"/>
        <v>-1813.748913370914</v>
      </c>
      <c r="T87" s="140">
        <f t="shared" si="29"/>
        <v>-2999.3362072708246</v>
      </c>
      <c r="U87" s="139"/>
      <c r="V87" s="139">
        <f t="shared" si="33"/>
        <v>89</v>
      </c>
      <c r="W87" s="140">
        <f>Q87*IF('Inputs and Results'!$I$56=TRUE,(1-E32),IF('Inputs and Results'!$I$54=TRUE,(1-E32),1))</f>
        <v>-700.6972387600208</v>
      </c>
      <c r="X87" s="140">
        <f t="shared" si="39"/>
        <v>-4091.6851137630683</v>
      </c>
      <c r="Y87" s="140">
        <f t="shared" si="40"/>
        <v>-1813.748913370914</v>
      </c>
      <c r="Z87" s="140">
        <f t="shared" si="41"/>
        <v>-2999.3362072708246</v>
      </c>
      <c r="AA87" s="139"/>
      <c r="AB87" s="139"/>
      <c r="AC87" s="96"/>
    </row>
    <row r="88" spans="1:29" ht="12.75">
      <c r="A88" s="139">
        <f t="shared" si="23"/>
        <v>90</v>
      </c>
      <c r="B88" s="140">
        <f t="shared" si="24"/>
        <v>11000.218299987975</v>
      </c>
      <c r="C88" s="140">
        <f>IF('Inputs and Results'!$I$54=TRUE,J33*(1-E33),J33-Y33)</f>
        <v>6033.357926082814</v>
      </c>
      <c r="D88" s="140">
        <f>IF('Inputs and Results'!$I$54=TRUE,L33*(1-E33),L33-AA33)</f>
        <v>7116.38600122386</v>
      </c>
      <c r="E88" s="140">
        <f>IF('Inputs and Results'!$I$54=TRUE,K33*(1-E33),K33-Z33)</f>
        <v>4340.094</v>
      </c>
      <c r="F88" s="141">
        <f t="shared" si="34"/>
        <v>2.2316049297178906</v>
      </c>
      <c r="G88" s="139">
        <f t="shared" si="19"/>
        <v>90</v>
      </c>
      <c r="H88" s="140">
        <f t="shared" si="35"/>
        <v>0</v>
      </c>
      <c r="I88" s="140">
        <f t="shared" si="36"/>
        <v>2703.595894478295</v>
      </c>
      <c r="J88" s="140">
        <f t="shared" si="37"/>
        <v>3188.909428571428</v>
      </c>
      <c r="K88" s="140">
        <f t="shared" si="38"/>
        <v>1944.8307996651788</v>
      </c>
      <c r="L88" s="139">
        <f t="shared" si="20"/>
        <v>90</v>
      </c>
      <c r="M88" s="140">
        <f t="shared" si="30"/>
        <v>6033.357926082814</v>
      </c>
      <c r="N88" s="140">
        <f t="shared" si="31"/>
        <v>7116.38600122386</v>
      </c>
      <c r="O88" s="140">
        <f t="shared" si="32"/>
        <v>4340.094</v>
      </c>
      <c r="P88" s="139">
        <f t="shared" si="25"/>
        <v>90</v>
      </c>
      <c r="Q88" s="140">
        <f t="shared" si="26"/>
        <v>-11805.709166717937</v>
      </c>
      <c r="R88" s="140">
        <f t="shared" si="27"/>
        <v>-9169.664936250323</v>
      </c>
      <c r="S88" s="140">
        <f t="shared" si="28"/>
        <v>-5761.051951695554</v>
      </c>
      <c r="T88" s="140">
        <f t="shared" si="29"/>
        <v>-9766.427339496575</v>
      </c>
      <c r="U88" s="139"/>
      <c r="V88" s="139">
        <f t="shared" si="33"/>
        <v>90</v>
      </c>
      <c r="W88" s="140">
        <f>Q88*IF('Inputs and Results'!$I$56=TRUE,(1-E33),IF('Inputs and Results'!$I$54=TRUE,(1-E33),1))</f>
        <v>-11805.709166717937</v>
      </c>
      <c r="X88" s="140">
        <f t="shared" si="39"/>
        <v>-9169.664936250323</v>
      </c>
      <c r="Y88" s="140">
        <f t="shared" si="40"/>
        <v>-5761.051951695554</v>
      </c>
      <c r="Z88" s="140">
        <f t="shared" si="41"/>
        <v>-9766.427339496575</v>
      </c>
      <c r="AA88" s="139"/>
      <c r="AB88" s="139"/>
      <c r="AC88" s="96"/>
    </row>
    <row r="89" spans="1:29" ht="12.75">
      <c r="A89" s="139">
        <f t="shared" si="23"/>
        <v>91</v>
      </c>
      <c r="B89" s="140">
        <f t="shared" si="24"/>
        <v>11550.229214987374</v>
      </c>
      <c r="C89" s="140">
        <f>IF('Inputs and Results'!$I$54=TRUE,J34*(1-E34),J34-Y34)</f>
        <v>6214.358663865299</v>
      </c>
      <c r="D89" s="140">
        <f>IF('Inputs and Results'!$I$54=TRUE,L34*(1-E34),L34-AA34)</f>
        <v>7472.205301285054</v>
      </c>
      <c r="E89" s="140">
        <f>IF('Inputs and Results'!$I$54=TRUE,K34*(1-E34),K34-Z34)</f>
        <v>4340.094</v>
      </c>
      <c r="F89" s="141">
        <f t="shared" si="34"/>
        <v>2.3431851762037854</v>
      </c>
      <c r="G89" s="139">
        <f t="shared" si="19"/>
        <v>91</v>
      </c>
      <c r="H89" s="140">
        <f t="shared" si="35"/>
        <v>0</v>
      </c>
      <c r="I89" s="140">
        <f t="shared" si="36"/>
        <v>2652.0988298215657</v>
      </c>
      <c r="J89" s="140">
        <f t="shared" si="37"/>
        <v>3188.9094285714277</v>
      </c>
      <c r="K89" s="140">
        <f t="shared" si="38"/>
        <v>1852.2198092049318</v>
      </c>
      <c r="L89" s="139">
        <f t="shared" si="20"/>
        <v>91</v>
      </c>
      <c r="M89" s="140">
        <f t="shared" si="30"/>
        <v>6214.358663865299</v>
      </c>
      <c r="N89" s="140">
        <f t="shared" si="31"/>
        <v>7472.205301285054</v>
      </c>
      <c r="O89" s="140">
        <f t="shared" si="32"/>
        <v>4340.094</v>
      </c>
      <c r="P89" s="139">
        <f t="shared" si="25"/>
        <v>91</v>
      </c>
      <c r="Q89" s="140">
        <f t="shared" si="26"/>
        <v>-23653.054303489487</v>
      </c>
      <c r="R89" s="140">
        <f t="shared" si="27"/>
        <v>-14705.59093095201</v>
      </c>
      <c r="S89" s="140">
        <f t="shared" si="28"/>
        <v>-9970.896945452312</v>
      </c>
      <c r="T89" s="140">
        <f t="shared" si="29"/>
        <v>-17202.540819088084</v>
      </c>
      <c r="U89" s="139"/>
      <c r="V89" s="139">
        <f t="shared" si="33"/>
        <v>91</v>
      </c>
      <c r="W89" s="140">
        <f>Q89*IF('Inputs and Results'!$I$56=TRUE,(1-E34),IF('Inputs and Results'!$I$54=TRUE,(1-E34),1))</f>
        <v>-23653.054303489487</v>
      </c>
      <c r="X89" s="140">
        <f t="shared" si="39"/>
        <v>-14705.59093095201</v>
      </c>
      <c r="Y89" s="140">
        <f t="shared" si="40"/>
        <v>-9970.896945452312</v>
      </c>
      <c r="Z89" s="140">
        <f t="shared" si="41"/>
        <v>-17202.540819088084</v>
      </c>
      <c r="AA89" s="139"/>
      <c r="AB89" s="139"/>
      <c r="AC89" s="96"/>
    </row>
    <row r="90" spans="1:29" ht="12.75">
      <c r="A90" s="139">
        <f t="shared" si="23"/>
        <v>92</v>
      </c>
      <c r="B90" s="140">
        <f t="shared" si="24"/>
        <v>12127.740675736743</v>
      </c>
      <c r="C90" s="140">
        <f>IF('Inputs and Results'!$I$54=TRUE,J35*(1-E35),J35-Y35)</f>
        <v>6400.789423781258</v>
      </c>
      <c r="D90" s="140">
        <f>IF('Inputs and Results'!$I$54=TRUE,L35*(1-E35),L35-AA35)</f>
        <v>7845.815566349306</v>
      </c>
      <c r="E90" s="140">
        <f>IF('Inputs and Results'!$I$54=TRUE,K35*(1-E35),K35-Z35)</f>
        <v>4340.094</v>
      </c>
      <c r="F90" s="141">
        <f t="shared" si="34"/>
        <v>2.4603444350139747</v>
      </c>
      <c r="G90" s="139">
        <f t="shared" si="19"/>
        <v>92</v>
      </c>
      <c r="H90" s="140">
        <f t="shared" si="35"/>
        <v>0</v>
      </c>
      <c r="I90" s="140">
        <f t="shared" si="36"/>
        <v>2601.5826616344884</v>
      </c>
      <c r="J90" s="140">
        <f t="shared" si="37"/>
        <v>3188.9094285714277</v>
      </c>
      <c r="K90" s="140">
        <f t="shared" si="38"/>
        <v>1764.0188659094588</v>
      </c>
      <c r="L90" s="139">
        <f t="shared" si="20"/>
        <v>92</v>
      </c>
      <c r="M90" s="140">
        <f t="shared" si="30"/>
        <v>6400.789423781258</v>
      </c>
      <c r="N90" s="140">
        <f t="shared" si="31"/>
        <v>7845.815566349306</v>
      </c>
      <c r="O90" s="140">
        <f t="shared" si="32"/>
        <v>4340.094</v>
      </c>
      <c r="P90" s="139">
        <f t="shared" si="25"/>
        <v>92</v>
      </c>
      <c r="Q90" s="140">
        <f t="shared" si="26"/>
        <v>-36283.011005665176</v>
      </c>
      <c r="R90" s="140">
        <f t="shared" si="27"/>
        <v>-20729.459407719605</v>
      </c>
      <c r="S90" s="140">
        <f t="shared" si="28"/>
        <v>-14457.512480392217</v>
      </c>
      <c r="T90" s="140">
        <f t="shared" si="29"/>
        <v>-25346.716049077393</v>
      </c>
      <c r="U90" s="139"/>
      <c r="V90" s="139">
        <f t="shared" si="33"/>
        <v>92</v>
      </c>
      <c r="W90" s="140">
        <f>Q90*IF('Inputs and Results'!$I$56=TRUE,(1-E35),IF('Inputs and Results'!$I$54=TRUE,(1-E35),1))</f>
        <v>-36283.011005665176</v>
      </c>
      <c r="X90" s="140">
        <f t="shared" si="39"/>
        <v>-20729.459407719605</v>
      </c>
      <c r="Y90" s="140">
        <f t="shared" si="40"/>
        <v>-14457.512480392217</v>
      </c>
      <c r="Z90" s="140">
        <f t="shared" si="41"/>
        <v>-25346.716049077393</v>
      </c>
      <c r="AA90" s="139"/>
      <c r="AB90" s="139"/>
      <c r="AC90" s="96"/>
    </row>
    <row r="91" spans="1:29" ht="12.75">
      <c r="A91" s="139">
        <f t="shared" si="23"/>
        <v>93</v>
      </c>
      <c r="B91" s="140">
        <f t="shared" si="24"/>
        <v>12734.12770952358</v>
      </c>
      <c r="C91" s="140">
        <f>IF('Inputs and Results'!$I$54=TRUE,J36*(1-E36),J36-Y36)</f>
        <v>6592.8131064946965</v>
      </c>
      <c r="D91" s="140">
        <f>IF('Inputs and Results'!$I$54=TRUE,L36*(1-E36),L36-AA36)</f>
        <v>8238.106344666772</v>
      </c>
      <c r="E91" s="140">
        <f>IF('Inputs and Results'!$I$54=TRUE,K36*(1-E36),K36-Z36)</f>
        <v>4340.094</v>
      </c>
      <c r="F91" s="141">
        <f t="shared" si="34"/>
        <v>2.5833616567646733</v>
      </c>
      <c r="G91" s="139">
        <f t="shared" si="19"/>
        <v>93</v>
      </c>
      <c r="H91" s="140">
        <f t="shared" si="35"/>
        <v>0</v>
      </c>
      <c r="I91" s="140">
        <f t="shared" si="36"/>
        <v>2552.0287061747845</v>
      </c>
      <c r="J91" s="140">
        <f t="shared" si="37"/>
        <v>3188.909428571428</v>
      </c>
      <c r="K91" s="140">
        <f t="shared" si="38"/>
        <v>1680.0179675328181</v>
      </c>
      <c r="L91" s="139">
        <f t="shared" si="20"/>
        <v>93</v>
      </c>
      <c r="M91" s="140">
        <f t="shared" si="30"/>
        <v>6592.8131064946965</v>
      </c>
      <c r="N91" s="140">
        <f t="shared" si="31"/>
        <v>8238.106344666772</v>
      </c>
      <c r="O91" s="140">
        <f t="shared" si="32"/>
        <v>4340.094</v>
      </c>
      <c r="P91" s="139">
        <f t="shared" si="25"/>
        <v>93</v>
      </c>
      <c r="Q91" s="140">
        <f t="shared" si="26"/>
        <v>-49737.924980329975</v>
      </c>
      <c r="R91" s="140">
        <f t="shared" si="27"/>
        <v>-27272.995983134544</v>
      </c>
      <c r="S91" s="140">
        <f t="shared" si="28"/>
        <v>-19235.85718670069</v>
      </c>
      <c r="T91" s="140">
        <f t="shared" si="29"/>
        <v>-34240.03884467586</v>
      </c>
      <c r="U91" s="139"/>
      <c r="V91" s="139">
        <f t="shared" si="33"/>
        <v>93</v>
      </c>
      <c r="W91" s="140">
        <f>Q91*IF('Inputs and Results'!$I$56=TRUE,(1-E36),IF('Inputs and Results'!$I$54=TRUE,(1-E36),1))</f>
        <v>-49737.924980329975</v>
      </c>
      <c r="X91" s="140">
        <f t="shared" si="39"/>
        <v>-27272.995983134544</v>
      </c>
      <c r="Y91" s="140">
        <f t="shared" si="40"/>
        <v>-19235.85718670069</v>
      </c>
      <c r="Z91" s="140">
        <f t="shared" si="41"/>
        <v>-34240.03884467586</v>
      </c>
      <c r="AA91" s="139"/>
      <c r="AB91" s="139"/>
      <c r="AC91" s="96"/>
    </row>
    <row r="92" spans="1:29" ht="12.75">
      <c r="A92" s="139">
        <f t="shared" si="23"/>
        <v>94</v>
      </c>
      <c r="B92" s="140">
        <f t="shared" si="24"/>
        <v>13370.83409499976</v>
      </c>
      <c r="C92" s="140">
        <f>IF('Inputs and Results'!$I$54=TRUE,J37*(1-E37),J37-Y37)</f>
        <v>6790.597499689537</v>
      </c>
      <c r="D92" s="140">
        <f>IF('Inputs and Results'!$I$54=TRUE,L37*(1-E37),L37-AA37)</f>
        <v>8650.01166190011</v>
      </c>
      <c r="E92" s="140">
        <f>IF('Inputs and Results'!$I$54=TRUE,K37*(1-E37),K37-Z37)</f>
        <v>4340.094</v>
      </c>
      <c r="F92" s="141">
        <f t="shared" si="34"/>
        <v>2.7125297396029073</v>
      </c>
      <c r="G92" s="139">
        <f t="shared" si="19"/>
        <v>94</v>
      </c>
      <c r="H92" s="140">
        <f t="shared" si="35"/>
        <v>0</v>
      </c>
      <c r="I92" s="140">
        <f t="shared" si="36"/>
        <v>2503.4186355809784</v>
      </c>
      <c r="J92" s="140">
        <f t="shared" si="37"/>
        <v>3188.9094285714273</v>
      </c>
      <c r="K92" s="140">
        <f t="shared" si="38"/>
        <v>1600.017111936017</v>
      </c>
      <c r="L92" s="139">
        <f t="shared" si="20"/>
        <v>94</v>
      </c>
      <c r="M92" s="140">
        <f t="shared" si="30"/>
        <v>6790.597499689537</v>
      </c>
      <c r="N92" s="140">
        <f t="shared" si="31"/>
        <v>8650.01166190011</v>
      </c>
      <c r="O92" s="140">
        <f t="shared" si="32"/>
        <v>4340.094</v>
      </c>
      <c r="P92" s="139">
        <f t="shared" si="25"/>
        <v>94</v>
      </c>
      <c r="Q92" s="140">
        <f t="shared" si="26"/>
        <v>-64062.31355560006</v>
      </c>
      <c r="R92" s="140">
        <f t="shared" si="27"/>
        <v>-34369.749209790105</v>
      </c>
      <c r="S92" s="140">
        <f t="shared" si="28"/>
        <v>-24321.656555815276</v>
      </c>
      <c r="T92" s="140">
        <f t="shared" si="29"/>
        <v>-43925.74534995339</v>
      </c>
      <c r="U92" s="139"/>
      <c r="V92" s="139">
        <f t="shared" si="33"/>
        <v>94</v>
      </c>
      <c r="W92" s="140">
        <f>Q92*IF('Inputs and Results'!$I$56=TRUE,(1-E37),IF('Inputs and Results'!$I$54=TRUE,(1-E37),1))</f>
        <v>-64062.31355560006</v>
      </c>
      <c r="X92" s="140">
        <f t="shared" si="39"/>
        <v>-34369.749209790105</v>
      </c>
      <c r="Y92" s="140">
        <f t="shared" si="40"/>
        <v>-24321.656555815276</v>
      </c>
      <c r="Z92" s="140">
        <f t="shared" si="41"/>
        <v>-43925.74534995339</v>
      </c>
      <c r="AA92" s="139"/>
      <c r="AB92" s="139"/>
      <c r="AC92" s="96"/>
    </row>
    <row r="93" spans="1:29" ht="12.75">
      <c r="A93" s="139">
        <f t="shared" si="23"/>
        <v>95</v>
      </c>
      <c r="B93" s="140">
        <f t="shared" si="24"/>
        <v>9406.381785832333</v>
      </c>
      <c r="C93" s="140">
        <f>IF('Inputs and Results'!$I$54=TRUE,J38*(1-E38),J38-Y38)</f>
        <v>4686.19133453575</v>
      </c>
      <c r="D93" s="140">
        <f>IF('Inputs and Results'!$I$54=TRUE,L38*(1-E38),L38-AA38)</f>
        <v>6085.283204146728</v>
      </c>
      <c r="E93" s="140">
        <f>IF('Inputs and Results'!$I$54=TRUE,K38*(1-E38),K38-Z38)</f>
        <v>2907.8629800000003</v>
      </c>
      <c r="F93" s="141">
        <f t="shared" si="34"/>
        <v>2.8481562265830527</v>
      </c>
      <c r="G93" s="139">
        <f t="shared" si="19"/>
        <v>95</v>
      </c>
      <c r="H93" s="140">
        <f t="shared" si="35"/>
        <v>0</v>
      </c>
      <c r="I93" s="140">
        <f t="shared" si="36"/>
        <v>1645.3420956327936</v>
      </c>
      <c r="J93" s="140">
        <f t="shared" si="37"/>
        <v>2136.5693171428566</v>
      </c>
      <c r="K93" s="140">
        <f t="shared" si="38"/>
        <v>1020.9632999972681</v>
      </c>
      <c r="L93" s="139">
        <f t="shared" si="20"/>
        <v>95</v>
      </c>
      <c r="M93" s="140">
        <f t="shared" si="30"/>
        <v>4686.19133453575</v>
      </c>
      <c r="N93" s="140">
        <f t="shared" si="31"/>
        <v>6085.283204146728</v>
      </c>
      <c r="O93" s="140">
        <f t="shared" si="32"/>
        <v>2907.8629800000003</v>
      </c>
      <c r="P93" s="139">
        <f t="shared" si="25"/>
        <v>95</v>
      </c>
      <c r="Q93" s="140">
        <f t="shared" si="26"/>
        <v>-74630.83236661233</v>
      </c>
      <c r="R93" s="140">
        <f t="shared" si="27"/>
        <v>-39710.674032045594</v>
      </c>
      <c r="S93" s="140">
        <f t="shared" si="28"/>
        <v>-28081.8544163094</v>
      </c>
      <c r="T93" s="140">
        <f t="shared" si="29"/>
        <v>-51221.52173610922</v>
      </c>
      <c r="U93" s="139"/>
      <c r="V93" s="139">
        <f t="shared" si="33"/>
        <v>95</v>
      </c>
      <c r="W93" s="140">
        <f>Q93*IF('Inputs and Results'!$I$56=TRUE,(1-E38),IF('Inputs and Results'!$I$54=TRUE,(1-E38),1))</f>
        <v>-74630.83236661233</v>
      </c>
      <c r="X93" s="140">
        <f t="shared" si="39"/>
        <v>-39710.674032045594</v>
      </c>
      <c r="Y93" s="140">
        <f t="shared" si="40"/>
        <v>-28081.8544163094</v>
      </c>
      <c r="Z93" s="140">
        <f t="shared" si="41"/>
        <v>-51221.52173610922</v>
      </c>
      <c r="AA93" s="139"/>
      <c r="AB93" s="139"/>
      <c r="AC93" s="96"/>
    </row>
    <row r="94" spans="1:29" ht="12.75">
      <c r="A94" s="139">
        <f t="shared" si="23"/>
        <v>96</v>
      </c>
      <c r="B94" s="140">
        <f t="shared" si="24"/>
        <v>9876.70087512395</v>
      </c>
      <c r="C94" s="140">
        <f>IF('Inputs and Results'!$I$54=TRUE,J39*(1-E39),J39-Y39)</f>
        <v>4826.777074571822</v>
      </c>
      <c r="D94" s="140">
        <f>IF('Inputs and Results'!$I$54=TRUE,L39*(1-E39),L39-AA39)</f>
        <v>6389.5473643540645</v>
      </c>
      <c r="E94" s="140">
        <f>IF('Inputs and Results'!$I$54=TRUE,K39*(1-E39),K39-Z39)</f>
        <v>2907.8629800000003</v>
      </c>
      <c r="F94" s="141">
        <f t="shared" si="34"/>
        <v>2.9905640379122054</v>
      </c>
      <c r="G94" s="139">
        <f t="shared" si="19"/>
        <v>96</v>
      </c>
      <c r="H94" s="140">
        <f t="shared" si="35"/>
        <v>0</v>
      </c>
      <c r="I94" s="140">
        <f t="shared" si="36"/>
        <v>1614.0022461921687</v>
      </c>
      <c r="J94" s="140">
        <f t="shared" si="37"/>
        <v>2136.5693171428566</v>
      </c>
      <c r="K94" s="140">
        <f t="shared" si="38"/>
        <v>972.3459999973982</v>
      </c>
      <c r="L94" s="139">
        <f t="shared" si="20"/>
        <v>96</v>
      </c>
      <c r="M94" s="140">
        <f t="shared" si="30"/>
        <v>4826.777074571822</v>
      </c>
      <c r="N94" s="140">
        <f t="shared" si="31"/>
        <v>6389.5473643540645</v>
      </c>
      <c r="O94" s="140">
        <f t="shared" si="32"/>
        <v>2907.8629800000003</v>
      </c>
      <c r="P94" s="139">
        <f t="shared" si="25"/>
        <v>96</v>
      </c>
      <c r="Q94" s="140">
        <f t="shared" si="26"/>
        <v>-85852.25243112684</v>
      </c>
      <c r="R94" s="140">
        <f t="shared" si="27"/>
        <v>-45474.38007985396</v>
      </c>
      <c r="S94" s="140">
        <f t="shared" si="28"/>
        <v>-32073.05771388092</v>
      </c>
      <c r="T94" s="140">
        <f t="shared" si="29"/>
        <v>-59114.89002878721</v>
      </c>
      <c r="U94" s="139"/>
      <c r="V94" s="139">
        <f t="shared" si="33"/>
        <v>96</v>
      </c>
      <c r="W94" s="140">
        <f>Q94*IF('Inputs and Results'!$I$56=TRUE,(1-E39),IF('Inputs and Results'!$I$54=TRUE,(1-E39),1))</f>
        <v>-85852.25243112684</v>
      </c>
      <c r="X94" s="140">
        <f t="shared" si="39"/>
        <v>-45474.38007985396</v>
      </c>
      <c r="Y94" s="140">
        <f t="shared" si="40"/>
        <v>-32073.05771388092</v>
      </c>
      <c r="Z94" s="140">
        <f t="shared" si="41"/>
        <v>-59114.89002878721</v>
      </c>
      <c r="AA94" s="139"/>
      <c r="AB94" s="139"/>
      <c r="AC94" s="96"/>
    </row>
    <row r="95" spans="1:29" ht="12.75">
      <c r="A95" s="139">
        <f t="shared" si="23"/>
        <v>97</v>
      </c>
      <c r="B95" s="140">
        <f t="shared" si="24"/>
        <v>10370.535918880149</v>
      </c>
      <c r="C95" s="140">
        <f>IF('Inputs and Results'!$I$54=TRUE,J40*(1-E40),J40-Y40)</f>
        <v>4971.580386808977</v>
      </c>
      <c r="D95" s="140">
        <f>IF('Inputs and Results'!$I$54=TRUE,L40*(1-E40),L40-AA40)</f>
        <v>6709.024732571768</v>
      </c>
      <c r="E95" s="140">
        <f>IF('Inputs and Results'!$I$54=TRUE,K40*(1-E40),K40-Z40)</f>
        <v>2907.8629800000003</v>
      </c>
      <c r="F95" s="141">
        <f t="shared" si="34"/>
        <v>3.140092239807816</v>
      </c>
      <c r="G95" s="139">
        <f t="shared" si="19"/>
        <v>97</v>
      </c>
      <c r="H95" s="140">
        <f t="shared" si="35"/>
        <v>0</v>
      </c>
      <c r="I95" s="140">
        <f t="shared" si="36"/>
        <v>1583.259346264699</v>
      </c>
      <c r="J95" s="140">
        <f t="shared" si="37"/>
        <v>2136.5693171428566</v>
      </c>
      <c r="K95" s="140">
        <f t="shared" si="38"/>
        <v>926.0438095213315</v>
      </c>
      <c r="L95" s="139">
        <f t="shared" si="20"/>
        <v>97</v>
      </c>
      <c r="M95" s="140">
        <f t="shared" si="30"/>
        <v>4971.580386808977</v>
      </c>
      <c r="N95" s="140">
        <f t="shared" si="31"/>
        <v>6709.024732571768</v>
      </c>
      <c r="O95" s="140">
        <f t="shared" si="32"/>
        <v>2907.8629800000003</v>
      </c>
      <c r="P95" s="139">
        <f t="shared" si="25"/>
        <v>97</v>
      </c>
      <c r="Q95" s="140">
        <f t="shared" si="26"/>
        <v>-97761.32244460755</v>
      </c>
      <c r="R95" s="140">
        <f t="shared" si="27"/>
        <v>-51687.473809520656</v>
      </c>
      <c r="S95" s="140">
        <f t="shared" si="28"/>
        <v>-36307.543345078186</v>
      </c>
      <c r="T95" s="140">
        <f t="shared" si="29"/>
        <v>-67639.66419548739</v>
      </c>
      <c r="U95" s="139"/>
      <c r="V95" s="139">
        <f t="shared" si="33"/>
        <v>97</v>
      </c>
      <c r="W95" s="140">
        <f>Q95*IF('Inputs and Results'!$I$56=TRUE,(1-E40),IF('Inputs and Results'!$I$54=TRUE,(1-E40),1))</f>
        <v>-97761.32244460755</v>
      </c>
      <c r="X95" s="140">
        <f t="shared" si="39"/>
        <v>-51687.473809520656</v>
      </c>
      <c r="Y95" s="140">
        <f t="shared" si="40"/>
        <v>-36307.543345078186</v>
      </c>
      <c r="Z95" s="140">
        <f t="shared" si="41"/>
        <v>-67639.66419548739</v>
      </c>
      <c r="AA95" s="139"/>
      <c r="AB95" s="139"/>
      <c r="AC95" s="96"/>
    </row>
    <row r="96" spans="1:29" ht="12.75">
      <c r="A96" s="139">
        <f t="shared" si="23"/>
        <v>98</v>
      </c>
      <c r="B96" s="140">
        <f t="shared" si="24"/>
        <v>10889.062714824157</v>
      </c>
      <c r="C96" s="140">
        <f>IF('Inputs and Results'!$I$54=TRUE,J41*(1-E41),J41-Y41)</f>
        <v>5120.727798413246</v>
      </c>
      <c r="D96" s="140">
        <f>IF('Inputs and Results'!$I$54=TRUE,L41*(1-E41),L41-AA41)</f>
        <v>7044.475969200356</v>
      </c>
      <c r="E96" s="140">
        <f>IF('Inputs and Results'!$I$54=TRUE,K41*(1-E41),K41-Z41)</f>
        <v>2907.8629800000003</v>
      </c>
      <c r="F96" s="141">
        <f t="shared" si="34"/>
        <v>3.297096851798207</v>
      </c>
      <c r="G96" s="139">
        <f t="shared" si="19"/>
        <v>98</v>
      </c>
      <c r="H96" s="140">
        <f t="shared" si="35"/>
        <v>0</v>
      </c>
      <c r="I96" s="140">
        <f t="shared" si="36"/>
        <v>1553.1020253834665</v>
      </c>
      <c r="J96" s="140">
        <f t="shared" si="37"/>
        <v>2136.5693171428566</v>
      </c>
      <c r="K96" s="140">
        <f t="shared" si="38"/>
        <v>881.9464852584109</v>
      </c>
      <c r="L96" s="139">
        <f t="shared" si="20"/>
        <v>98</v>
      </c>
      <c r="M96" s="140">
        <f t="shared" si="30"/>
        <v>5120.727798413246</v>
      </c>
      <c r="N96" s="140">
        <f t="shared" si="31"/>
        <v>7044.475969200356</v>
      </c>
      <c r="O96" s="140">
        <f t="shared" si="32"/>
        <v>2907.8629800000003</v>
      </c>
      <c r="P96" s="139">
        <f t="shared" si="25"/>
        <v>98</v>
      </c>
      <c r="Q96" s="140">
        <f t="shared" si="26"/>
        <v>-110394.56408868583</v>
      </c>
      <c r="R96" s="140">
        <f t="shared" si="27"/>
        <v>-58378.06946335613</v>
      </c>
      <c r="S96" s="140">
        <f t="shared" si="28"/>
        <v>-40798.21433123433</v>
      </c>
      <c r="T96" s="140">
        <f t="shared" si="29"/>
        <v>-76831.41539297454</v>
      </c>
      <c r="U96" s="139"/>
      <c r="V96" s="139">
        <f t="shared" si="33"/>
        <v>98</v>
      </c>
      <c r="W96" s="140">
        <f>Q96*IF('Inputs and Results'!$I$56=TRUE,(1-E41),IF('Inputs and Results'!$I$54=TRUE,(1-E41),1))</f>
        <v>-110394.56408868583</v>
      </c>
      <c r="X96" s="140">
        <f t="shared" si="39"/>
        <v>-58378.06946335613</v>
      </c>
      <c r="Y96" s="140">
        <f t="shared" si="40"/>
        <v>-40798.21433123433</v>
      </c>
      <c r="Z96" s="140">
        <f t="shared" si="41"/>
        <v>-76831.41539297454</v>
      </c>
      <c r="AA96" s="139"/>
      <c r="AB96" s="139"/>
      <c r="AC96" s="96"/>
    </row>
    <row r="97" spans="1:29" ht="12.75">
      <c r="A97" s="139">
        <f t="shared" si="23"/>
        <v>99</v>
      </c>
      <c r="B97" s="140">
        <f t="shared" si="24"/>
        <v>11433.515850565365</v>
      </c>
      <c r="C97" s="140">
        <f>IF('Inputs and Results'!$I$54=TRUE,J42*(1-E42),J42-Y42)</f>
        <v>5274.3496323656445</v>
      </c>
      <c r="D97" s="140">
        <f>IF('Inputs and Results'!$I$54=TRUE,L42*(1-E42),L42-AA42)</f>
        <v>7396.699767660375</v>
      </c>
      <c r="E97" s="140">
        <f>IF('Inputs and Results'!$I$54=TRUE,K42*(1-E42),K42-Z42)</f>
        <v>2907.8629800000003</v>
      </c>
      <c r="F97" s="141">
        <f t="shared" si="34"/>
        <v>3.4619516943881172</v>
      </c>
      <c r="G97" s="139">
        <f t="shared" si="19"/>
        <v>99</v>
      </c>
      <c r="H97" s="140">
        <f t="shared" si="35"/>
        <v>0</v>
      </c>
      <c r="I97" s="140">
        <f t="shared" si="36"/>
        <v>1523.5191296618768</v>
      </c>
      <c r="J97" s="140">
        <f t="shared" si="37"/>
        <v>2136.5693171428566</v>
      </c>
      <c r="K97" s="140">
        <f t="shared" si="38"/>
        <v>839.949033579439</v>
      </c>
      <c r="L97" s="139">
        <f t="shared" si="20"/>
        <v>99</v>
      </c>
      <c r="M97" s="140">
        <f t="shared" si="30"/>
        <v>5274.3496323656445</v>
      </c>
      <c r="N97" s="140">
        <f t="shared" si="31"/>
        <v>7396.699767660375</v>
      </c>
      <c r="O97" s="140">
        <f t="shared" si="32"/>
        <v>2907.8629800000003</v>
      </c>
      <c r="P97" s="139">
        <f t="shared" si="25"/>
        <v>99</v>
      </c>
      <c r="Q97" s="140">
        <f t="shared" si="26"/>
        <v>-123790.36128128726</v>
      </c>
      <c r="R97" s="140">
        <f t="shared" si="27"/>
        <v>-65575.87001003035</v>
      </c>
      <c r="S97" s="140">
        <f t="shared" si="28"/>
        <v>-45558.631332237725</v>
      </c>
      <c r="T97" s="140">
        <f t="shared" si="29"/>
        <v>-86727.56095043744</v>
      </c>
      <c r="U97" s="139"/>
      <c r="V97" s="139">
        <f t="shared" si="33"/>
        <v>99</v>
      </c>
      <c r="W97" s="140">
        <f>Q97*IF('Inputs and Results'!$I$56=TRUE,(1-E42),IF('Inputs and Results'!$I$54=TRUE,(1-E42),1))</f>
        <v>-123790.36128128726</v>
      </c>
      <c r="X97" s="140">
        <f t="shared" si="39"/>
        <v>-65575.87001003035</v>
      </c>
      <c r="Y97" s="140">
        <f t="shared" si="40"/>
        <v>-45558.631332237725</v>
      </c>
      <c r="Z97" s="140">
        <f t="shared" si="41"/>
        <v>-86727.56095043744</v>
      </c>
      <c r="AA97" s="139"/>
      <c r="AB97" s="139"/>
      <c r="AC97" s="96"/>
    </row>
    <row r="98" spans="1:29" ht="12.75">
      <c r="A98" s="139">
        <f t="shared" si="23"/>
        <v>100</v>
      </c>
      <c r="B98" s="140">
        <f t="shared" si="24"/>
        <v>12005.191643093634</v>
      </c>
      <c r="C98" s="140">
        <f>IF('Inputs and Results'!$I$54=TRUE,J43*(1-E43),J43-Y43)</f>
        <v>5432.580121336614</v>
      </c>
      <c r="D98" s="140">
        <f>IF('Inputs and Results'!$I$54=TRUE,L43*(1-E43),L43-AA43)</f>
        <v>7766.534756043394</v>
      </c>
      <c r="E98" s="140">
        <f>IF('Inputs and Results'!$I$54=TRUE,K43*(1-E43),K43-Z43)</f>
        <v>2907.8629800000003</v>
      </c>
      <c r="F98" s="141">
        <f t="shared" si="34"/>
        <v>3.6350492791075233</v>
      </c>
      <c r="G98" s="139">
        <f t="shared" si="19"/>
        <v>100</v>
      </c>
      <c r="H98" s="140">
        <f t="shared" si="35"/>
        <v>0</v>
      </c>
      <c r="I98" s="140">
        <f t="shared" si="36"/>
        <v>1494.4997176683173</v>
      </c>
      <c r="J98" s="140">
        <f t="shared" si="37"/>
        <v>2136.5693171428566</v>
      </c>
      <c r="K98" s="140">
        <f t="shared" si="38"/>
        <v>799.9514605518466</v>
      </c>
      <c r="L98" s="139">
        <f t="shared" si="20"/>
        <v>100</v>
      </c>
      <c r="M98" s="140">
        <f t="shared" si="30"/>
        <v>5432.580121336614</v>
      </c>
      <c r="N98" s="140">
        <f t="shared" si="31"/>
        <v>7766.534756043394</v>
      </c>
      <c r="O98" s="140">
        <f t="shared" si="32"/>
        <v>2907.8629800000003</v>
      </c>
      <c r="P98" s="139">
        <f t="shared" si="25"/>
        <v>100</v>
      </c>
      <c r="Q98" s="140">
        <f t="shared" si="26"/>
        <v>-137989.0538994188</v>
      </c>
      <c r="R98" s="140">
        <f t="shared" si="27"/>
        <v>-73312.25230231574</v>
      </c>
      <c r="S98" s="140">
        <f t="shared" si="28"/>
        <v>-50603.04573949835</v>
      </c>
      <c r="T98" s="140">
        <f t="shared" si="29"/>
        <v>-97367.45782079661</v>
      </c>
      <c r="U98" s="139"/>
      <c r="V98" s="139">
        <f t="shared" si="33"/>
        <v>100</v>
      </c>
      <c r="W98" s="140">
        <f>Q98*IF('Inputs and Results'!$I$56=TRUE,(1-E43),IF('Inputs and Results'!$I$54=TRUE,(1-E43),1))</f>
        <v>-137989.0538994188</v>
      </c>
      <c r="X98" s="140">
        <f t="shared" si="39"/>
        <v>-73312.25230231574</v>
      </c>
      <c r="Y98" s="140">
        <f t="shared" si="40"/>
        <v>-50603.04573949835</v>
      </c>
      <c r="Z98" s="140">
        <f t="shared" si="41"/>
        <v>-97367.45782079661</v>
      </c>
      <c r="AA98" s="139"/>
      <c r="AB98" s="139"/>
      <c r="AC98" s="96"/>
    </row>
    <row r="99" spans="1:29" ht="12.75">
      <c r="A99" s="139">
        <f t="shared" si="23"/>
        <v>101</v>
      </c>
      <c r="B99" s="140">
        <f t="shared" si="24"/>
        <v>12605.451225248316</v>
      </c>
      <c r="C99" s="140">
        <f>IF('Inputs and Results'!$I$54=TRUE,J44*(1-E44),J44-Y44)</f>
        <v>5595.557524976713</v>
      </c>
      <c r="D99" s="140">
        <f>IF('Inputs and Results'!$I$54=TRUE,L44*(1-E44),L44-AA44)</f>
        <v>8154.861493845564</v>
      </c>
      <c r="E99" s="140">
        <f>IF('Inputs and Results'!$I$54=TRUE,K44*(1-E44),K44-Z44)</f>
        <v>2907.8629800000003</v>
      </c>
      <c r="F99" s="141">
        <f t="shared" si="34"/>
        <v>3.8168017430628995</v>
      </c>
      <c r="G99" s="139">
        <f aca="true" t="shared" si="42" ref="G99:G118">A99</f>
        <v>101</v>
      </c>
      <c r="H99" s="140">
        <f t="shared" si="35"/>
        <v>0</v>
      </c>
      <c r="I99" s="140">
        <f t="shared" si="36"/>
        <v>1466.033056379397</v>
      </c>
      <c r="J99" s="140">
        <f t="shared" si="37"/>
        <v>2136.5693171428566</v>
      </c>
      <c r="K99" s="140">
        <f t="shared" si="38"/>
        <v>761.8585338589015</v>
      </c>
      <c r="L99" s="139">
        <f aca="true" t="shared" si="43" ref="L99:L118">G99</f>
        <v>101</v>
      </c>
      <c r="M99" s="140">
        <f t="shared" si="30"/>
        <v>5595.557524976713</v>
      </c>
      <c r="N99" s="140">
        <f t="shared" si="31"/>
        <v>8154.861493845564</v>
      </c>
      <c r="O99" s="140">
        <f t="shared" si="32"/>
        <v>2907.8629800000003</v>
      </c>
      <c r="P99" s="139">
        <f t="shared" si="25"/>
        <v>101</v>
      </c>
      <c r="Q99" s="140">
        <f t="shared" si="26"/>
        <v>-153033.03619842065</v>
      </c>
      <c r="R99" s="140">
        <f t="shared" si="27"/>
        <v>-81620.35666826378</v>
      </c>
      <c r="S99" s="140">
        <f t="shared" si="28"/>
        <v>-55946.43442712898</v>
      </c>
      <c r="T99" s="140">
        <f t="shared" si="29"/>
        <v>-108792.50072388872</v>
      </c>
      <c r="U99" s="139"/>
      <c r="V99" s="139">
        <f t="shared" si="33"/>
        <v>101</v>
      </c>
      <c r="W99" s="140">
        <f>Q99*IF('Inputs and Results'!$I$56=TRUE,(1-E44),IF('Inputs and Results'!$I$54=TRUE,(1-E44),1))</f>
        <v>-153033.03619842065</v>
      </c>
      <c r="X99" s="140">
        <f t="shared" si="39"/>
        <v>-81620.35666826378</v>
      </c>
      <c r="Y99" s="140">
        <f t="shared" si="40"/>
        <v>-55946.43442712898</v>
      </c>
      <c r="Z99" s="140">
        <f t="shared" si="41"/>
        <v>-108792.50072388872</v>
      </c>
      <c r="AA99" s="139"/>
      <c r="AB99" s="139"/>
      <c r="AC99" s="96"/>
    </row>
    <row r="100" spans="1:29" ht="12.75">
      <c r="A100" s="139">
        <f aca="true" t="shared" si="44" ref="A100:A118">B45</f>
        <v>102</v>
      </c>
      <c r="B100" s="140">
        <f aca="true" t="shared" si="45" ref="B100:B118">G45</f>
        <v>13235.723786510733</v>
      </c>
      <c r="C100" s="140">
        <f>IF('Inputs and Results'!$I$54=TRUE,J45*(1-E45),J45-Y45)</f>
        <v>5763.424250726013</v>
      </c>
      <c r="D100" s="140">
        <f>IF('Inputs and Results'!$I$54=TRUE,L45*(1-E45),L45-AA45)</f>
        <v>8562.604568537843</v>
      </c>
      <c r="E100" s="140">
        <f>IF('Inputs and Results'!$I$54=TRUE,K45*(1-E45),K45-Z45)</f>
        <v>2907.8629800000003</v>
      </c>
      <c r="F100" s="141">
        <f t="shared" si="34"/>
        <v>4.007641830216045</v>
      </c>
      <c r="G100" s="139">
        <f t="shared" si="42"/>
        <v>102</v>
      </c>
      <c r="H100" s="140">
        <f t="shared" si="35"/>
        <v>0</v>
      </c>
      <c r="I100" s="140">
        <f t="shared" si="36"/>
        <v>0</v>
      </c>
      <c r="J100" s="140">
        <f t="shared" si="37"/>
        <v>0</v>
      </c>
      <c r="K100" s="140">
        <f t="shared" si="38"/>
        <v>0</v>
      </c>
      <c r="L100" s="139">
        <f t="shared" si="43"/>
        <v>102</v>
      </c>
      <c r="M100" s="140">
        <f t="shared" si="30"/>
        <v>0</v>
      </c>
      <c r="N100" s="140">
        <f t="shared" si="31"/>
        <v>0</v>
      </c>
      <c r="O100" s="140">
        <f t="shared" si="32"/>
        <v>0</v>
      </c>
      <c r="P100" s="139">
        <f aca="true" t="shared" si="46" ref="P100:P118">B45</f>
        <v>102</v>
      </c>
      <c r="Q100" s="140">
        <f aca="true" t="shared" si="47" ref="Q100:Q118">M45</f>
        <v>-168966.86016268074</v>
      </c>
      <c r="R100" s="140">
        <f aca="true" t="shared" si="48" ref="R100:R118">N45</f>
        <v>-90535.18116281953</v>
      </c>
      <c r="S100" s="140">
        <f aca="true" t="shared" si="49" ref="S100:S118">P45</f>
        <v>-61604.536244312214</v>
      </c>
      <c r="T100" s="140">
        <f aca="true" t="shared" si="50" ref="T100:T118">O45</f>
        <v>-121046.22521644818</v>
      </c>
      <c r="U100" s="139"/>
      <c r="V100" s="139">
        <f t="shared" si="33"/>
        <v>102</v>
      </c>
      <c r="W100" s="140">
        <f>Q100*IF('Inputs and Results'!$I$56=TRUE,(1-E45),IF('Inputs and Results'!$I$54=TRUE,(1-E45),1))</f>
        <v>-168966.86016268074</v>
      </c>
      <c r="X100" s="140">
        <f t="shared" si="39"/>
        <v>0</v>
      </c>
      <c r="Y100" s="140">
        <f t="shared" si="40"/>
        <v>0</v>
      </c>
      <c r="Z100" s="140">
        <f t="shared" si="41"/>
        <v>0</v>
      </c>
      <c r="AA100" s="139"/>
      <c r="AB100" s="139"/>
      <c r="AC100" s="96"/>
    </row>
    <row r="101" spans="1:29" ht="12.75">
      <c r="A101" s="139">
        <f t="shared" si="44"/>
        <v>103</v>
      </c>
      <c r="B101" s="140">
        <f t="shared" si="45"/>
        <v>13897.50997583627</v>
      </c>
      <c r="C101" s="140">
        <f>IF('Inputs and Results'!$I$54=TRUE,J46*(1-E46),J46-Y46)</f>
        <v>5936.326978247794</v>
      </c>
      <c r="D101" s="140">
        <f>IF('Inputs and Results'!$I$54=TRUE,L46*(1-E46),L46-AA46)</f>
        <v>8990.734796964734</v>
      </c>
      <c r="E101" s="140">
        <f>IF('Inputs and Results'!$I$54=TRUE,K46*(1-E46),K46-Z46)</f>
        <v>2907.8629800000003</v>
      </c>
      <c r="F101" s="141">
        <f t="shared" si="34"/>
        <v>4.208023921726848</v>
      </c>
      <c r="G101" s="139">
        <f t="shared" si="42"/>
        <v>103</v>
      </c>
      <c r="H101" s="140">
        <f t="shared" si="35"/>
        <v>0</v>
      </c>
      <c r="I101" s="140">
        <f t="shared" si="36"/>
        <v>0</v>
      </c>
      <c r="J101" s="140">
        <f t="shared" si="37"/>
        <v>0</v>
      </c>
      <c r="K101" s="140">
        <f t="shared" si="38"/>
        <v>0</v>
      </c>
      <c r="L101" s="139">
        <f t="shared" si="43"/>
        <v>103</v>
      </c>
      <c r="M101" s="140">
        <f aca="true" t="shared" si="51" ref="M101:M118">C101*IF($G101&gt;101,0,1)</f>
        <v>0</v>
      </c>
      <c r="N101" s="140">
        <f aca="true" t="shared" si="52" ref="N101:N118">D101*IF($G101&gt;101,0,1)</f>
        <v>0</v>
      </c>
      <c r="O101" s="140">
        <f aca="true" t="shared" si="53" ref="O101:O118">E101*IF($G101&gt;101,0,1)</f>
        <v>0</v>
      </c>
      <c r="P101" s="139">
        <f t="shared" si="46"/>
        <v>103</v>
      </c>
      <c r="Q101" s="140">
        <f t="shared" si="47"/>
        <v>-185837.3440345621</v>
      </c>
      <c r="R101" s="140">
        <f t="shared" si="48"/>
        <v>-100093.68071838927</v>
      </c>
      <c r="S101" s="140">
        <f t="shared" si="49"/>
        <v>-67593.89033597408</v>
      </c>
      <c r="T101" s="140">
        <f t="shared" si="50"/>
        <v>-134174.41593555722</v>
      </c>
      <c r="U101" s="139"/>
      <c r="V101" s="139">
        <f t="shared" si="33"/>
        <v>103</v>
      </c>
      <c r="W101" s="140">
        <f>Q101*IF('Inputs and Results'!$I$56=TRUE,(1-E46),IF('Inputs and Results'!$I$54=TRUE,(1-E46),1))</f>
        <v>-185837.3440345621</v>
      </c>
      <c r="X101" s="140">
        <f t="shared" si="39"/>
        <v>0</v>
      </c>
      <c r="Y101" s="140">
        <f t="shared" si="40"/>
        <v>0</v>
      </c>
      <c r="Z101" s="140">
        <f t="shared" si="41"/>
        <v>0</v>
      </c>
      <c r="AA101" s="139"/>
      <c r="AB101" s="139"/>
      <c r="AC101" s="96"/>
    </row>
    <row r="102" spans="1:29" ht="12.75">
      <c r="A102" s="139">
        <f t="shared" si="44"/>
        <v>104</v>
      </c>
      <c r="B102" s="140">
        <f t="shared" si="45"/>
        <v>14592.385474628085</v>
      </c>
      <c r="C102" s="140">
        <f>IF('Inputs and Results'!$I$54=TRUE,J47*(1-E47),J47-Y47)</f>
        <v>6114.416787595228</v>
      </c>
      <c r="D102" s="140">
        <f>IF('Inputs and Results'!$I$54=TRUE,L47*(1-E47),L47-AA47)</f>
        <v>9440.271536812972</v>
      </c>
      <c r="E102" s="140">
        <f>IF('Inputs and Results'!$I$54=TRUE,K47*(1-E47),K47-Z47)</f>
        <v>2907.8629800000003</v>
      </c>
      <c r="F102" s="141">
        <f t="shared" si="34"/>
        <v>4.41842511781319</v>
      </c>
      <c r="G102" s="139">
        <f t="shared" si="42"/>
        <v>104</v>
      </c>
      <c r="H102" s="140">
        <f t="shared" si="35"/>
        <v>0</v>
      </c>
      <c r="I102" s="140">
        <f t="shared" si="36"/>
        <v>0</v>
      </c>
      <c r="J102" s="140">
        <f t="shared" si="37"/>
        <v>0</v>
      </c>
      <c r="K102" s="140">
        <f t="shared" si="38"/>
        <v>0</v>
      </c>
      <c r="L102" s="139">
        <f t="shared" si="43"/>
        <v>104</v>
      </c>
      <c r="M102" s="140">
        <f t="shared" si="51"/>
        <v>0</v>
      </c>
      <c r="N102" s="140">
        <f t="shared" si="52"/>
        <v>0</v>
      </c>
      <c r="O102" s="140">
        <f t="shared" si="53"/>
        <v>0</v>
      </c>
      <c r="P102" s="139">
        <f t="shared" si="46"/>
        <v>104</v>
      </c>
      <c r="Q102" s="140">
        <f t="shared" si="47"/>
        <v>-203693.68628063487</v>
      </c>
      <c r="R102" s="140">
        <f t="shared" si="48"/>
        <v>-110334.8714449683</v>
      </c>
      <c r="S102" s="140">
        <f t="shared" si="49"/>
        <v>-73931.8763832417</v>
      </c>
      <c r="T102" s="140">
        <f t="shared" si="50"/>
        <v>-148225.2202745758</v>
      </c>
      <c r="U102" s="139"/>
      <c r="V102" s="139">
        <f t="shared" si="33"/>
        <v>104</v>
      </c>
      <c r="W102" s="140">
        <f>Q102*IF('Inputs and Results'!$I$56=TRUE,(1-E47),IF('Inputs and Results'!$I$54=TRUE,(1-E47),1))</f>
        <v>-203693.68628063487</v>
      </c>
      <c r="X102" s="140">
        <f t="shared" si="39"/>
        <v>0</v>
      </c>
      <c r="Y102" s="140">
        <f t="shared" si="40"/>
        <v>0</v>
      </c>
      <c r="Z102" s="140">
        <f t="shared" si="41"/>
        <v>0</v>
      </c>
      <c r="AA102" s="139"/>
      <c r="AB102" s="139"/>
      <c r="AC102" s="96"/>
    </row>
    <row r="103" spans="1:29" ht="12.75">
      <c r="A103" s="139">
        <f t="shared" si="44"/>
        <v>105</v>
      </c>
      <c r="B103" s="140">
        <f t="shared" si="45"/>
        <v>15322.00474835949</v>
      </c>
      <c r="C103" s="140">
        <f>IF('Inputs and Results'!$I$54=TRUE,J48*(1-E48),J48-Y48)</f>
        <v>6297.849291223085</v>
      </c>
      <c r="D103" s="140">
        <f>IF('Inputs and Results'!$I$54=TRUE,L48*(1-E48),L48-AA48)</f>
        <v>9912.285113653623</v>
      </c>
      <c r="E103" s="140">
        <f>IF('Inputs and Results'!$I$54=TRUE,K48*(1-E48),K48-Z48)</f>
        <v>2907.8629800000003</v>
      </c>
      <c r="F103" s="141">
        <f t="shared" si="34"/>
        <v>4.63934637370385</v>
      </c>
      <c r="G103" s="139">
        <f t="shared" si="42"/>
        <v>105</v>
      </c>
      <c r="H103" s="140">
        <f t="shared" si="35"/>
        <v>0</v>
      </c>
      <c r="I103" s="140">
        <f t="shared" si="36"/>
        <v>0</v>
      </c>
      <c r="J103" s="140">
        <f t="shared" si="37"/>
        <v>0</v>
      </c>
      <c r="K103" s="140">
        <f t="shared" si="38"/>
        <v>0</v>
      </c>
      <c r="L103" s="139">
        <f t="shared" si="43"/>
        <v>105</v>
      </c>
      <c r="M103" s="140">
        <f t="shared" si="51"/>
        <v>0</v>
      </c>
      <c r="N103" s="140">
        <f t="shared" si="52"/>
        <v>0</v>
      </c>
      <c r="O103" s="140">
        <f t="shared" si="53"/>
        <v>0</v>
      </c>
      <c r="P103" s="139">
        <f t="shared" si="46"/>
        <v>105</v>
      </c>
      <c r="Q103" s="140">
        <f t="shared" si="47"/>
        <v>-222587.5852672607</v>
      </c>
      <c r="R103" s="140">
        <f t="shared" si="48"/>
        <v>-121299.94034313745</v>
      </c>
      <c r="S103" s="140">
        <f t="shared" si="49"/>
        <v>-80636.75685973761</v>
      </c>
      <c r="T103" s="140">
        <f t="shared" si="50"/>
        <v>-163249.26776351823</v>
      </c>
      <c r="U103" s="139"/>
      <c r="V103" s="139">
        <f t="shared" si="33"/>
        <v>105</v>
      </c>
      <c r="W103" s="140">
        <f>Q103*IF('Inputs and Results'!$I$56=TRUE,(1-E48),IF('Inputs and Results'!$I$54=TRUE,(1-E48),1))</f>
        <v>-222587.5852672607</v>
      </c>
      <c r="X103" s="140">
        <f t="shared" si="39"/>
        <v>0</v>
      </c>
      <c r="Y103" s="140">
        <f t="shared" si="40"/>
        <v>0</v>
      </c>
      <c r="Z103" s="140">
        <f t="shared" si="41"/>
        <v>0</v>
      </c>
      <c r="AA103" s="139"/>
      <c r="AB103" s="139"/>
      <c r="AC103" s="96"/>
    </row>
    <row r="104" spans="1:29" ht="12.75">
      <c r="A104" s="139">
        <f t="shared" si="44"/>
        <v>106</v>
      </c>
      <c r="B104" s="140">
        <f t="shared" si="45"/>
        <v>16088.104985777465</v>
      </c>
      <c r="C104" s="140">
        <f>IF('Inputs and Results'!$I$54=TRUE,J49*(1-E49),J49-Y49)</f>
        <v>6486.784769959778</v>
      </c>
      <c r="D104" s="140">
        <f>IF('Inputs and Results'!$I$54=TRUE,L49*(1-E49),L49-AA49)</f>
        <v>10407.899369336303</v>
      </c>
      <c r="E104" s="140">
        <f>IF('Inputs and Results'!$I$54=TRUE,K49*(1-E49),K49-Z49)</f>
        <v>2907.8629800000003</v>
      </c>
      <c r="F104" s="141">
        <f t="shared" si="34"/>
        <v>4.871313692389043</v>
      </c>
      <c r="G104" s="139">
        <f t="shared" si="42"/>
        <v>106</v>
      </c>
      <c r="H104" s="140">
        <f t="shared" si="35"/>
        <v>0</v>
      </c>
      <c r="I104" s="140">
        <f t="shared" si="36"/>
        <v>0</v>
      </c>
      <c r="J104" s="140">
        <f t="shared" si="37"/>
        <v>0</v>
      </c>
      <c r="K104" s="140">
        <f t="shared" si="38"/>
        <v>0</v>
      </c>
      <c r="L104" s="139">
        <f t="shared" si="43"/>
        <v>106</v>
      </c>
      <c r="M104" s="140">
        <f t="shared" si="51"/>
        <v>0</v>
      </c>
      <c r="N104" s="140">
        <f t="shared" si="52"/>
        <v>0</v>
      </c>
      <c r="O104" s="140">
        <f t="shared" si="53"/>
        <v>0</v>
      </c>
      <c r="P104" s="139">
        <f t="shared" si="46"/>
        <v>106</v>
      </c>
      <c r="Q104" s="140">
        <f t="shared" si="47"/>
        <v>-242573.36493118468</v>
      </c>
      <c r="R104" s="140">
        <f t="shared" si="48"/>
        <v>-133032.3607065778</v>
      </c>
      <c r="S104" s="140">
        <f t="shared" si="49"/>
        <v>-87727.72140456727</v>
      </c>
      <c r="T104" s="140">
        <f t="shared" si="50"/>
        <v>-179299.79543944797</v>
      </c>
      <c r="U104" s="139"/>
      <c r="V104" s="139">
        <f t="shared" si="33"/>
        <v>106</v>
      </c>
      <c r="W104" s="140">
        <f>Q104*IF('Inputs and Results'!$I$56=TRUE,(1-E49),IF('Inputs and Results'!$I$54=TRUE,(1-E49),1))</f>
        <v>-242573.36493118468</v>
      </c>
      <c r="X104" s="140">
        <f t="shared" si="39"/>
        <v>0</v>
      </c>
      <c r="Y104" s="140">
        <f t="shared" si="40"/>
        <v>0</v>
      </c>
      <c r="Z104" s="140">
        <f t="shared" si="41"/>
        <v>0</v>
      </c>
      <c r="AA104" s="139"/>
      <c r="AB104" s="139"/>
      <c r="AC104" s="96"/>
    </row>
    <row r="105" spans="1:29" ht="12.75">
      <c r="A105" s="139">
        <f t="shared" si="44"/>
        <v>107</v>
      </c>
      <c r="B105" s="140">
        <f t="shared" si="45"/>
        <v>16892.51023506634</v>
      </c>
      <c r="C105" s="140">
        <f>IF('Inputs and Results'!$I$54=TRUE,J50*(1-E50),J50-Y50)</f>
        <v>6681.388313058571</v>
      </c>
      <c r="D105" s="140">
        <f>IF('Inputs and Results'!$I$54=TRUE,L50*(1-E50),L50-AA50)</f>
        <v>10928.294337803118</v>
      </c>
      <c r="E105" s="140">
        <f>IF('Inputs and Results'!$I$54=TRUE,K50*(1-E50),K50-Z50)</f>
        <v>2907.8629800000003</v>
      </c>
      <c r="F105" s="141">
        <f t="shared" si="34"/>
        <v>5.114879377008495</v>
      </c>
      <c r="G105" s="139">
        <f t="shared" si="42"/>
        <v>107</v>
      </c>
      <c r="H105" s="140">
        <f t="shared" si="35"/>
        <v>0</v>
      </c>
      <c r="I105" s="140">
        <f t="shared" si="36"/>
        <v>0</v>
      </c>
      <c r="J105" s="140">
        <f t="shared" si="37"/>
        <v>0</v>
      </c>
      <c r="K105" s="140">
        <f t="shared" si="38"/>
        <v>0</v>
      </c>
      <c r="L105" s="139">
        <f t="shared" si="43"/>
        <v>107</v>
      </c>
      <c r="M105" s="140">
        <f t="shared" si="51"/>
        <v>0</v>
      </c>
      <c r="N105" s="140">
        <f t="shared" si="52"/>
        <v>0</v>
      </c>
      <c r="O105" s="140">
        <f t="shared" si="53"/>
        <v>0</v>
      </c>
      <c r="P105" s="139">
        <f t="shared" si="46"/>
        <v>107</v>
      </c>
      <c r="Q105" s="140">
        <f t="shared" si="47"/>
        <v>-263708.1067450743</v>
      </c>
      <c r="R105" s="140">
        <f t="shared" si="48"/>
        <v>-145578.01350476767</v>
      </c>
      <c r="S105" s="140">
        <f t="shared" si="49"/>
        <v>-95224.93341789956</v>
      </c>
      <c r="T105" s="140">
        <f t="shared" si="50"/>
        <v>-196432.77950674624</v>
      </c>
      <c r="U105" s="139"/>
      <c r="V105" s="139">
        <f t="shared" si="33"/>
        <v>107</v>
      </c>
      <c r="W105" s="140">
        <f>Q105*IF('Inputs and Results'!$I$56=TRUE,(1-E50),IF('Inputs and Results'!$I$54=TRUE,(1-E50),1))</f>
        <v>-263708.1067450743</v>
      </c>
      <c r="X105" s="140">
        <f t="shared" si="39"/>
        <v>0</v>
      </c>
      <c r="Y105" s="140">
        <f t="shared" si="40"/>
        <v>0</v>
      </c>
      <c r="Z105" s="140">
        <f t="shared" si="41"/>
        <v>0</v>
      </c>
      <c r="AA105" s="139"/>
      <c r="AB105" s="139"/>
      <c r="AC105" s="96"/>
    </row>
    <row r="106" spans="1:29" ht="12.75">
      <c r="A106" s="139">
        <f t="shared" si="44"/>
        <v>108</v>
      </c>
      <c r="B106" s="140">
        <f t="shared" si="45"/>
        <v>17737.13574681966</v>
      </c>
      <c r="C106" s="140">
        <f>IF('Inputs and Results'!$I$54=TRUE,J51*(1-E51),J51-Y51)</f>
        <v>6881.829962450328</v>
      </c>
      <c r="D106" s="140">
        <f>IF('Inputs and Results'!$I$54=TRUE,L51*(1-E51),L51-AA51)</f>
        <v>11474.709054693274</v>
      </c>
      <c r="E106" s="140">
        <f>IF('Inputs and Results'!$I$54=TRUE,K51*(1-E51),K51-Z51)</f>
        <v>2907.8629800000003</v>
      </c>
      <c r="F106" s="141">
        <f t="shared" si="34"/>
        <v>5.370623345858919</v>
      </c>
      <c r="G106" s="139">
        <f t="shared" si="42"/>
        <v>108</v>
      </c>
      <c r="H106" s="140">
        <f t="shared" si="35"/>
        <v>0</v>
      </c>
      <c r="I106" s="140">
        <f t="shared" si="36"/>
        <v>0</v>
      </c>
      <c r="J106" s="140">
        <f t="shared" si="37"/>
        <v>0</v>
      </c>
      <c r="K106" s="140">
        <f t="shared" si="38"/>
        <v>0</v>
      </c>
      <c r="L106" s="139">
        <f t="shared" si="43"/>
        <v>108</v>
      </c>
      <c r="M106" s="140">
        <f t="shared" si="51"/>
        <v>0</v>
      </c>
      <c r="N106" s="140">
        <f t="shared" si="52"/>
        <v>0</v>
      </c>
      <c r="O106" s="140">
        <f t="shared" si="53"/>
        <v>0</v>
      </c>
      <c r="P106" s="139">
        <f t="shared" si="46"/>
        <v>108</v>
      </c>
      <c r="Q106" s="140">
        <f t="shared" si="47"/>
        <v>-286051.78829294635</v>
      </c>
      <c r="R106" s="140">
        <f t="shared" si="48"/>
        <v>-158985.3150512455</v>
      </c>
      <c r="S106" s="140">
        <f t="shared" si="49"/>
        <v>-103149.5789903369</v>
      </c>
      <c r="T106" s="140">
        <f t="shared" si="50"/>
        <v>-214707.0736021095</v>
      </c>
      <c r="U106" s="139"/>
      <c r="V106" s="139">
        <f t="shared" si="33"/>
        <v>108</v>
      </c>
      <c r="W106" s="140">
        <f>Q106*IF('Inputs and Results'!$I$56=TRUE,(1-E51),IF('Inputs and Results'!$I$54=TRUE,(1-E51),1))</f>
        <v>-286051.78829294635</v>
      </c>
      <c r="X106" s="140">
        <f t="shared" si="39"/>
        <v>0</v>
      </c>
      <c r="Y106" s="140">
        <f t="shared" si="40"/>
        <v>0</v>
      </c>
      <c r="Z106" s="140">
        <f t="shared" si="41"/>
        <v>0</v>
      </c>
      <c r="AA106" s="139"/>
      <c r="AB106" s="139"/>
      <c r="AC106" s="96"/>
    </row>
    <row r="107" spans="1:29" ht="12.75">
      <c r="A107" s="139">
        <f t="shared" si="44"/>
        <v>109</v>
      </c>
      <c r="B107" s="140">
        <f t="shared" si="45"/>
        <v>18623.992534160643</v>
      </c>
      <c r="C107" s="140">
        <f>IF('Inputs and Results'!$I$54=TRUE,J52*(1-E52),J52-Y52)</f>
        <v>7088.284861323838</v>
      </c>
      <c r="D107" s="140">
        <f>IF('Inputs and Results'!$I$54=TRUE,L52*(1-E52),L52-AA52)</f>
        <v>12048.44450742794</v>
      </c>
      <c r="E107" s="140">
        <f>IF('Inputs and Results'!$I$54=TRUE,K52*(1-E52),K52-Z52)</f>
        <v>2907.8629800000003</v>
      </c>
      <c r="F107" s="141">
        <f t="shared" si="34"/>
        <v>5.6391545131518654</v>
      </c>
      <c r="G107" s="139">
        <f t="shared" si="42"/>
        <v>109</v>
      </c>
      <c r="H107" s="140">
        <f t="shared" si="35"/>
        <v>0</v>
      </c>
      <c r="I107" s="140">
        <f t="shared" si="36"/>
        <v>0</v>
      </c>
      <c r="J107" s="140">
        <f t="shared" si="37"/>
        <v>0</v>
      </c>
      <c r="K107" s="140">
        <f t="shared" si="38"/>
        <v>0</v>
      </c>
      <c r="L107" s="139">
        <f t="shared" si="43"/>
        <v>109</v>
      </c>
      <c r="M107" s="140">
        <f t="shared" si="51"/>
        <v>0</v>
      </c>
      <c r="N107" s="140">
        <f t="shared" si="52"/>
        <v>0</v>
      </c>
      <c r="O107" s="140">
        <f t="shared" si="53"/>
        <v>0</v>
      </c>
      <c r="P107" s="139">
        <f t="shared" si="46"/>
        <v>109</v>
      </c>
      <c r="Q107" s="140">
        <f t="shared" si="47"/>
        <v>-309667.42878617137</v>
      </c>
      <c r="R107" s="140">
        <f t="shared" si="48"/>
        <v>-173305.35127828378</v>
      </c>
      <c r="S107" s="140">
        <f t="shared" si="49"/>
        <v>-111523.91828283216</v>
      </c>
      <c r="T107" s="140">
        <f t="shared" si="50"/>
        <v>-234184.55399487843</v>
      </c>
      <c r="U107" s="139"/>
      <c r="V107" s="139">
        <f t="shared" si="33"/>
        <v>109</v>
      </c>
      <c r="W107" s="140">
        <f>Q107*IF('Inputs and Results'!$I$56=TRUE,(1-E52),IF('Inputs and Results'!$I$54=TRUE,(1-E52),1))</f>
        <v>-309667.42878617137</v>
      </c>
      <c r="X107" s="140">
        <f t="shared" si="39"/>
        <v>0</v>
      </c>
      <c r="Y107" s="140">
        <f t="shared" si="40"/>
        <v>0</v>
      </c>
      <c r="Z107" s="140">
        <f t="shared" si="41"/>
        <v>0</v>
      </c>
      <c r="AA107" s="139"/>
      <c r="AB107" s="139"/>
      <c r="AC107" s="96"/>
    </row>
    <row r="108" spans="1:29" ht="12.75">
      <c r="A108" s="139">
        <f t="shared" si="44"/>
        <v>110</v>
      </c>
      <c r="B108" s="140">
        <f t="shared" si="45"/>
        <v>19555.192160868675</v>
      </c>
      <c r="C108" s="140">
        <f>IF('Inputs and Results'!$I$54=TRUE,J53*(1-E53),J53-Y53)</f>
        <v>7300.933407163554</v>
      </c>
      <c r="D108" s="140">
        <f>IF('Inputs and Results'!$I$54=TRUE,L53*(1-E53),L53-AA53)</f>
        <v>12650.866732799337</v>
      </c>
      <c r="E108" s="140">
        <f>IF('Inputs and Results'!$I$54=TRUE,K53*(1-E53),K53-Z53)</f>
        <v>2907.8629800000003</v>
      </c>
      <c r="F108" s="141">
        <f t="shared" si="34"/>
        <v>5.921112238809459</v>
      </c>
      <c r="G108" s="139">
        <f t="shared" si="42"/>
        <v>110</v>
      </c>
      <c r="H108" s="140">
        <f t="shared" si="35"/>
        <v>0</v>
      </c>
      <c r="I108" s="140">
        <f t="shared" si="36"/>
        <v>0</v>
      </c>
      <c r="J108" s="140">
        <f t="shared" si="37"/>
        <v>0</v>
      </c>
      <c r="K108" s="140">
        <f t="shared" si="38"/>
        <v>0</v>
      </c>
      <c r="L108" s="139">
        <f t="shared" si="43"/>
        <v>110</v>
      </c>
      <c r="M108" s="140">
        <f t="shared" si="51"/>
        <v>0</v>
      </c>
      <c r="N108" s="140">
        <f t="shared" si="52"/>
        <v>0</v>
      </c>
      <c r="O108" s="140">
        <f t="shared" si="53"/>
        <v>0</v>
      </c>
      <c r="P108" s="139">
        <f t="shared" si="46"/>
        <v>110</v>
      </c>
      <c r="Q108" s="140">
        <f t="shared" si="47"/>
        <v>-334621.24186728563</v>
      </c>
      <c r="R108" s="140">
        <f t="shared" si="48"/>
        <v>-188592.0189550607</v>
      </c>
      <c r="S108" s="140">
        <f t="shared" si="49"/>
        <v>-120371.33947974854</v>
      </c>
      <c r="T108" s="140">
        <f t="shared" si="50"/>
        <v>-254930.2720698389</v>
      </c>
      <c r="U108" s="139"/>
      <c r="V108" s="139">
        <f t="shared" si="33"/>
        <v>110</v>
      </c>
      <c r="W108" s="140">
        <f>Q108*IF('Inputs and Results'!$I$56=TRUE,(1-E53),IF('Inputs and Results'!$I$54=TRUE,(1-E53),1))</f>
        <v>-334621.24186728563</v>
      </c>
      <c r="X108" s="140">
        <f t="shared" si="39"/>
        <v>0</v>
      </c>
      <c r="Y108" s="140">
        <f t="shared" si="40"/>
        <v>0</v>
      </c>
      <c r="Z108" s="140">
        <f t="shared" si="41"/>
        <v>0</v>
      </c>
      <c r="AA108" s="139"/>
      <c r="AB108" s="139"/>
      <c r="AC108" s="96"/>
    </row>
    <row r="109" spans="1:29" ht="12.75">
      <c r="A109" s="139">
        <f t="shared" si="44"/>
        <v>111</v>
      </c>
      <c r="B109" s="140">
        <f t="shared" si="45"/>
        <v>20532.95176891211</v>
      </c>
      <c r="C109" s="140">
        <f>IF('Inputs and Results'!$I$54=TRUE,J54*(1-E54),J54-Y54)</f>
        <v>7519.961409378461</v>
      </c>
      <c r="D109" s="140">
        <f>IF('Inputs and Results'!$I$54=TRUE,L54*(1-E54),L54-AA54)</f>
        <v>13283.410069439306</v>
      </c>
      <c r="E109" s="140">
        <f>IF('Inputs and Results'!$I$54=TRUE,K54*(1-E54),K54-Z54)</f>
        <v>2907.8629800000003</v>
      </c>
      <c r="F109" s="141">
        <f t="shared" si="34"/>
        <v>6.217167850749933</v>
      </c>
      <c r="G109" s="139">
        <f t="shared" si="42"/>
        <v>111</v>
      </c>
      <c r="H109" s="140">
        <f t="shared" si="35"/>
        <v>0</v>
      </c>
      <c r="I109" s="140">
        <f t="shared" si="36"/>
        <v>0</v>
      </c>
      <c r="J109" s="140">
        <f t="shared" si="37"/>
        <v>0</v>
      </c>
      <c r="K109" s="140">
        <f t="shared" si="38"/>
        <v>0</v>
      </c>
      <c r="L109" s="139">
        <f t="shared" si="43"/>
        <v>111</v>
      </c>
      <c r="M109" s="140">
        <f t="shared" si="51"/>
        <v>0</v>
      </c>
      <c r="N109" s="140">
        <f t="shared" si="52"/>
        <v>0</v>
      </c>
      <c r="O109" s="140">
        <f t="shared" si="53"/>
        <v>0</v>
      </c>
      <c r="P109" s="139">
        <f t="shared" si="46"/>
        <v>111</v>
      </c>
      <c r="Q109" s="140">
        <f t="shared" si="47"/>
        <v>-360982.79606620217</v>
      </c>
      <c r="R109" s="140">
        <f t="shared" si="48"/>
        <v>-204902.17420347288</v>
      </c>
      <c r="S109" s="140">
        <f t="shared" si="49"/>
        <v>-129716.41544378964</v>
      </c>
      <c r="T109" s="140">
        <f t="shared" si="50"/>
        <v>-277012.6144569975</v>
      </c>
      <c r="U109" s="139"/>
      <c r="V109" s="139">
        <f t="shared" si="33"/>
        <v>111</v>
      </c>
      <c r="W109" s="140">
        <f>Q109*IF('Inputs and Results'!$I$56=TRUE,(1-E54),IF('Inputs and Results'!$I$54=TRUE,(1-E54),1))</f>
        <v>-360982.79606620217</v>
      </c>
      <c r="X109" s="140">
        <f t="shared" si="39"/>
        <v>0</v>
      </c>
      <c r="Y109" s="140">
        <f t="shared" si="40"/>
        <v>0</v>
      </c>
      <c r="Z109" s="140">
        <f t="shared" si="41"/>
        <v>0</v>
      </c>
      <c r="AA109" s="139"/>
      <c r="AB109" s="139"/>
      <c r="AC109" s="96"/>
    </row>
    <row r="110" spans="1:29" ht="12.75">
      <c r="A110" s="139">
        <f t="shared" si="44"/>
        <v>112</v>
      </c>
      <c r="B110" s="140">
        <f t="shared" si="45"/>
        <v>21559.599357357714</v>
      </c>
      <c r="C110" s="140">
        <f>IF('Inputs and Results'!$I$54=TRUE,J55*(1-E55),J55-Y55)</f>
        <v>7745.560251659815</v>
      </c>
      <c r="D110" s="140">
        <f>IF('Inputs and Results'!$I$54=TRUE,L55*(1-E55),L55-AA55)</f>
        <v>13947.58057291127</v>
      </c>
      <c r="E110" s="140">
        <f>IF('Inputs and Results'!$I$54=TRUE,K55*(1-E55),K55-Z55)</f>
        <v>2907.8629800000003</v>
      </c>
      <c r="F110" s="141">
        <f t="shared" si="34"/>
        <v>6.52802624328743</v>
      </c>
      <c r="G110" s="139">
        <f t="shared" si="42"/>
        <v>112</v>
      </c>
      <c r="H110" s="140">
        <f t="shared" si="35"/>
        <v>0</v>
      </c>
      <c r="I110" s="140">
        <f t="shared" si="36"/>
        <v>0</v>
      </c>
      <c r="J110" s="140">
        <f t="shared" si="37"/>
        <v>0</v>
      </c>
      <c r="K110" s="140">
        <f t="shared" si="38"/>
        <v>0</v>
      </c>
      <c r="L110" s="139">
        <f t="shared" si="43"/>
        <v>112</v>
      </c>
      <c r="M110" s="140">
        <f t="shared" si="51"/>
        <v>0</v>
      </c>
      <c r="N110" s="140">
        <f t="shared" si="52"/>
        <v>0</v>
      </c>
      <c r="O110" s="140">
        <f t="shared" si="53"/>
        <v>0</v>
      </c>
      <c r="P110" s="139">
        <f t="shared" si="46"/>
        <v>112</v>
      </c>
      <c r="Q110" s="140">
        <f t="shared" si="47"/>
        <v>-388825.18329164834</v>
      </c>
      <c r="R110" s="140">
        <f t="shared" si="48"/>
        <v>-222295.7886836526</v>
      </c>
      <c r="S110" s="140">
        <f t="shared" si="49"/>
        <v>-139584.9632079647</v>
      </c>
      <c r="T110" s="140">
        <f t="shared" si="50"/>
        <v>-300503.47119106713</v>
      </c>
      <c r="U110" s="139"/>
      <c r="V110" s="139">
        <f t="shared" si="33"/>
        <v>112</v>
      </c>
      <c r="W110" s="140">
        <f>Q110*IF('Inputs and Results'!$I$56=TRUE,(1-E55),IF('Inputs and Results'!$I$54=TRUE,(1-E55),1))</f>
        <v>-388825.18329164834</v>
      </c>
      <c r="X110" s="140">
        <f t="shared" si="39"/>
        <v>0</v>
      </c>
      <c r="Y110" s="140">
        <f t="shared" si="40"/>
        <v>0</v>
      </c>
      <c r="Z110" s="140">
        <f t="shared" si="41"/>
        <v>0</v>
      </c>
      <c r="AA110" s="139"/>
      <c r="AB110" s="139"/>
      <c r="AC110" s="96"/>
    </row>
    <row r="111" spans="1:29" ht="12.75">
      <c r="A111" s="139">
        <f t="shared" si="44"/>
        <v>113</v>
      </c>
      <c r="B111" s="140">
        <f t="shared" si="45"/>
        <v>22637.5793252256</v>
      </c>
      <c r="C111" s="140">
        <f>IF('Inputs and Results'!$I$54=TRUE,J56*(1-E56),J56-Y56)</f>
        <v>7977.92705920961</v>
      </c>
      <c r="D111" s="140">
        <f>IF('Inputs and Results'!$I$54=TRUE,L56*(1-E56),L56-AA56)</f>
        <v>14644.959601556835</v>
      </c>
      <c r="E111" s="140">
        <f>IF('Inputs and Results'!$I$54=TRUE,K56*(1-E56),K56-Z56)</f>
        <v>2907.8629800000003</v>
      </c>
      <c r="F111" s="141">
        <f t="shared" si="34"/>
        <v>6.854427555451801</v>
      </c>
      <c r="G111" s="139">
        <f t="shared" si="42"/>
        <v>113</v>
      </c>
      <c r="H111" s="140">
        <f t="shared" si="35"/>
        <v>0</v>
      </c>
      <c r="I111" s="140">
        <f t="shared" si="36"/>
        <v>0</v>
      </c>
      <c r="J111" s="140">
        <f t="shared" si="37"/>
        <v>0</v>
      </c>
      <c r="K111" s="140">
        <f t="shared" si="38"/>
        <v>0</v>
      </c>
      <c r="L111" s="139">
        <f t="shared" si="43"/>
        <v>113</v>
      </c>
      <c r="M111" s="140">
        <f t="shared" si="51"/>
        <v>0</v>
      </c>
      <c r="N111" s="140">
        <f t="shared" si="52"/>
        <v>0</v>
      </c>
      <c r="O111" s="140">
        <f t="shared" si="53"/>
        <v>0</v>
      </c>
      <c r="P111" s="139">
        <f t="shared" si="46"/>
        <v>113</v>
      </c>
      <c r="Q111" s="140">
        <f t="shared" si="47"/>
        <v>-418225.19575980084</v>
      </c>
      <c r="R111" s="140">
        <f t="shared" si="48"/>
        <v>-240836.11384007012</v>
      </c>
      <c r="S111" s="140">
        <f t="shared" si="49"/>
        <v>-150004.1064465131</v>
      </c>
      <c r="T111" s="140">
        <f t="shared" si="50"/>
        <v>-325478.41230253887</v>
      </c>
      <c r="U111" s="139"/>
      <c r="V111" s="139">
        <f t="shared" si="33"/>
        <v>113</v>
      </c>
      <c r="W111" s="140">
        <f>Q111*IF('Inputs and Results'!$I$56=TRUE,(1-E56),IF('Inputs and Results'!$I$54=TRUE,(1-E56),1))</f>
        <v>-418225.19575980084</v>
      </c>
      <c r="X111" s="140">
        <f t="shared" si="39"/>
        <v>0</v>
      </c>
      <c r="Y111" s="140">
        <f t="shared" si="40"/>
        <v>0</v>
      </c>
      <c r="Z111" s="140">
        <f t="shared" si="41"/>
        <v>0</v>
      </c>
      <c r="AA111" s="139"/>
      <c r="AB111" s="139"/>
      <c r="AC111" s="96"/>
    </row>
    <row r="112" spans="1:29" ht="12.75">
      <c r="A112" s="139">
        <f t="shared" si="44"/>
        <v>114</v>
      </c>
      <c r="B112" s="140">
        <f t="shared" si="45"/>
        <v>23769.45829148688</v>
      </c>
      <c r="C112" s="140">
        <f>IF('Inputs and Results'!$I$54=TRUE,J57*(1-E57),J57-Y57)</f>
        <v>8217.264870985899</v>
      </c>
      <c r="D112" s="140">
        <f>IF('Inputs and Results'!$I$54=TRUE,L57*(1-E57),L57-AA57)</f>
        <v>15377.207581634679</v>
      </c>
      <c r="E112" s="140">
        <f>IF('Inputs and Results'!$I$54=TRUE,K57*(1-E57),K57-Z57)</f>
        <v>2907.8629800000003</v>
      </c>
      <c r="F112" s="141">
        <f t="shared" si="34"/>
        <v>7.197148933224391</v>
      </c>
      <c r="G112" s="139">
        <f t="shared" si="42"/>
        <v>114</v>
      </c>
      <c r="H112" s="140">
        <f t="shared" si="35"/>
        <v>0</v>
      </c>
      <c r="I112" s="140">
        <f t="shared" si="36"/>
        <v>0</v>
      </c>
      <c r="J112" s="140">
        <f t="shared" si="37"/>
        <v>0</v>
      </c>
      <c r="K112" s="140">
        <f t="shared" si="38"/>
        <v>0</v>
      </c>
      <c r="L112" s="139">
        <f t="shared" si="43"/>
        <v>114</v>
      </c>
      <c r="M112" s="140">
        <f t="shared" si="51"/>
        <v>0</v>
      </c>
      <c r="N112" s="140">
        <f t="shared" si="52"/>
        <v>0</v>
      </c>
      <c r="O112" s="140">
        <f t="shared" si="53"/>
        <v>0</v>
      </c>
      <c r="P112" s="139">
        <f t="shared" si="46"/>
        <v>114</v>
      </c>
      <c r="Q112" s="140">
        <f t="shared" si="47"/>
        <v>-449263.51178219134</v>
      </c>
      <c r="R112" s="140">
        <f t="shared" si="48"/>
        <v>-260589.85361887148</v>
      </c>
      <c r="S112" s="140">
        <f t="shared" si="49"/>
        <v>-161002.3410738096</v>
      </c>
      <c r="T112" s="140">
        <f t="shared" si="50"/>
        <v>-352016.87326232065</v>
      </c>
      <c r="U112" s="139"/>
      <c r="V112" s="139">
        <f t="shared" si="33"/>
        <v>114</v>
      </c>
      <c r="W112" s="140">
        <f>Q112*IF('Inputs and Results'!$I$56=TRUE,(1-E57),IF('Inputs and Results'!$I$54=TRUE,(1-E57),1))</f>
        <v>-449263.51178219134</v>
      </c>
      <c r="X112" s="140">
        <f t="shared" si="39"/>
        <v>0</v>
      </c>
      <c r="Y112" s="140">
        <f t="shared" si="40"/>
        <v>0</v>
      </c>
      <c r="Z112" s="140">
        <f t="shared" si="41"/>
        <v>0</v>
      </c>
      <c r="AA112" s="139"/>
      <c r="AB112" s="139"/>
      <c r="AC112" s="96"/>
    </row>
    <row r="113" spans="1:29" ht="12.75">
      <c r="A113" s="139">
        <f t="shared" si="44"/>
        <v>115</v>
      </c>
      <c r="B113" s="140">
        <f t="shared" si="45"/>
        <v>24957.931206061225</v>
      </c>
      <c r="C113" s="140">
        <f>IF('Inputs and Results'!$I$54=TRUE,J58*(1-E58),J58-Y58)</f>
        <v>8463.782817115476</v>
      </c>
      <c r="D113" s="140">
        <f>IF('Inputs and Results'!$I$54=TRUE,L58*(1-E58),L58-AA58)</f>
        <v>16146.067960716413</v>
      </c>
      <c r="E113" s="140">
        <f>IF('Inputs and Results'!$I$54=TRUE,K58*(1-E58),K58-Z58)</f>
        <v>2907.8629800000003</v>
      </c>
      <c r="F113" s="141">
        <f t="shared" si="34"/>
        <v>7.557006379885611</v>
      </c>
      <c r="G113" s="139">
        <f t="shared" si="42"/>
        <v>115</v>
      </c>
      <c r="H113" s="140">
        <f t="shared" si="35"/>
        <v>0</v>
      </c>
      <c r="I113" s="140">
        <f t="shared" si="36"/>
        <v>0</v>
      </c>
      <c r="J113" s="140">
        <f t="shared" si="37"/>
        <v>0</v>
      </c>
      <c r="K113" s="140">
        <f t="shared" si="38"/>
        <v>0</v>
      </c>
      <c r="L113" s="139">
        <f t="shared" si="43"/>
        <v>115</v>
      </c>
      <c r="M113" s="140">
        <f t="shared" si="51"/>
        <v>0</v>
      </c>
      <c r="N113" s="140">
        <f t="shared" si="52"/>
        <v>0</v>
      </c>
      <c r="O113" s="140">
        <f t="shared" si="53"/>
        <v>0</v>
      </c>
      <c r="P113" s="139">
        <f t="shared" si="46"/>
        <v>115</v>
      </c>
      <c r="Q113" s="140">
        <f t="shared" si="47"/>
        <v>-482024.8908560628</v>
      </c>
      <c r="R113" s="140">
        <f t="shared" si="48"/>
        <v>-281627.3460878627</v>
      </c>
      <c r="S113" s="140">
        <f t="shared" si="49"/>
        <v>-172609.60412772498</v>
      </c>
      <c r="T113" s="140">
        <f t="shared" si="50"/>
        <v>-380202.3497230252</v>
      </c>
      <c r="U113" s="139"/>
      <c r="V113" s="139">
        <f t="shared" si="33"/>
        <v>115</v>
      </c>
      <c r="W113" s="140">
        <f>Q113*IF('Inputs and Results'!$I$56=TRUE,(1-E58),IF('Inputs and Results'!$I$54=TRUE,(1-E58),1))</f>
        <v>-482024.8908560628</v>
      </c>
      <c r="X113" s="140">
        <f t="shared" si="39"/>
        <v>0</v>
      </c>
      <c r="Y113" s="140">
        <f t="shared" si="40"/>
        <v>0</v>
      </c>
      <c r="Z113" s="140">
        <f t="shared" si="41"/>
        <v>0</v>
      </c>
      <c r="AA113" s="139"/>
      <c r="AB113" s="139"/>
      <c r="AC113" s="96"/>
    </row>
    <row r="114" spans="1:29" ht="12.75">
      <c r="A114" s="139">
        <f t="shared" si="44"/>
        <v>116</v>
      </c>
      <c r="B114" s="140">
        <f t="shared" si="45"/>
        <v>26205.827766364288</v>
      </c>
      <c r="C114" s="140">
        <f>IF('Inputs and Results'!$I$54=TRUE,J59*(1-E59),J59-Y59)</f>
        <v>8717.696301628941</v>
      </c>
      <c r="D114" s="140">
        <f>IF('Inputs and Results'!$I$54=TRUE,L59*(1-E59),L59-AA59)</f>
        <v>16953.371358752236</v>
      </c>
      <c r="E114" s="140">
        <f>IF('Inputs and Results'!$I$54=TRUE,K59*(1-E59),K59-Z59)</f>
        <v>2907.8629800000003</v>
      </c>
      <c r="F114" s="141">
        <f t="shared" si="34"/>
        <v>7.9348566988798925</v>
      </c>
      <c r="G114" s="139">
        <f t="shared" si="42"/>
        <v>116</v>
      </c>
      <c r="H114" s="140">
        <f t="shared" si="35"/>
        <v>0</v>
      </c>
      <c r="I114" s="140">
        <f t="shared" si="36"/>
        <v>0</v>
      </c>
      <c r="J114" s="140">
        <f t="shared" si="37"/>
        <v>0</v>
      </c>
      <c r="K114" s="140">
        <f t="shared" si="38"/>
        <v>0</v>
      </c>
      <c r="L114" s="139">
        <f t="shared" si="43"/>
        <v>116</v>
      </c>
      <c r="M114" s="140">
        <f t="shared" si="51"/>
        <v>0</v>
      </c>
      <c r="N114" s="140">
        <f t="shared" si="52"/>
        <v>0</v>
      </c>
      <c r="O114" s="140">
        <f t="shared" si="53"/>
        <v>0</v>
      </c>
      <c r="P114" s="139">
        <f t="shared" si="46"/>
        <v>116</v>
      </c>
      <c r="Q114" s="140">
        <f t="shared" si="47"/>
        <v>-516598.37852252036</v>
      </c>
      <c r="R114" s="140">
        <f t="shared" si="48"/>
        <v>-304022.7544123599</v>
      </c>
      <c r="S114" s="140">
        <f t="shared" si="49"/>
        <v>-184857.3461017399</v>
      </c>
      <c r="T114" s="140">
        <f t="shared" si="50"/>
        <v>-410122.6020221533</v>
      </c>
      <c r="U114" s="139"/>
      <c r="V114" s="139">
        <f t="shared" si="33"/>
        <v>116</v>
      </c>
      <c r="W114" s="140">
        <f>Q114*IF('Inputs and Results'!$I$56=TRUE,(1-E59),IF('Inputs and Results'!$I$54=TRUE,(1-E59),1))</f>
        <v>-516598.37852252036</v>
      </c>
      <c r="X114" s="140">
        <f t="shared" si="39"/>
        <v>0</v>
      </c>
      <c r="Y114" s="140">
        <f t="shared" si="40"/>
        <v>0</v>
      </c>
      <c r="Z114" s="140">
        <f t="shared" si="41"/>
        <v>0</v>
      </c>
      <c r="AA114" s="139"/>
      <c r="AB114" s="139"/>
      <c r="AC114" s="96"/>
    </row>
    <row r="115" spans="1:29" ht="12.75">
      <c r="A115" s="139">
        <f t="shared" si="44"/>
        <v>117</v>
      </c>
      <c r="B115" s="140">
        <f t="shared" si="45"/>
        <v>27516.119154682503</v>
      </c>
      <c r="C115" s="140">
        <f>IF('Inputs and Results'!$I$54=TRUE,J60*(1-E60),J60-Y60)</f>
        <v>8979.227190677808</v>
      </c>
      <c r="D115" s="140">
        <f>IF('Inputs and Results'!$I$54=TRUE,L60*(1-E60),L60-AA60)</f>
        <v>17801.039926689846</v>
      </c>
      <c r="E115" s="140">
        <f>IF('Inputs and Results'!$I$54=TRUE,K60*(1-E60),K60-Z60)</f>
        <v>2907.8629800000003</v>
      </c>
      <c r="F115" s="141">
        <f t="shared" si="34"/>
        <v>8.331599533823887</v>
      </c>
      <c r="G115" s="139">
        <f t="shared" si="42"/>
        <v>117</v>
      </c>
      <c r="H115" s="140">
        <f t="shared" si="35"/>
        <v>0</v>
      </c>
      <c r="I115" s="140">
        <f t="shared" si="36"/>
        <v>0</v>
      </c>
      <c r="J115" s="140">
        <f t="shared" si="37"/>
        <v>0</v>
      </c>
      <c r="K115" s="140">
        <f t="shared" si="38"/>
        <v>0</v>
      </c>
      <c r="L115" s="139">
        <f t="shared" si="43"/>
        <v>117</v>
      </c>
      <c r="M115" s="140">
        <f t="shared" si="51"/>
        <v>0</v>
      </c>
      <c r="N115" s="140">
        <f t="shared" si="52"/>
        <v>0</v>
      </c>
      <c r="O115" s="140">
        <f t="shared" si="53"/>
        <v>0</v>
      </c>
      <c r="P115" s="139">
        <f t="shared" si="46"/>
        <v>117</v>
      </c>
      <c r="Q115" s="140">
        <f t="shared" si="47"/>
        <v>-553077.5214810906</v>
      </c>
      <c r="R115" s="140">
        <f t="shared" si="48"/>
        <v>-327854.2676630293</v>
      </c>
      <c r="S115" s="140">
        <f t="shared" si="49"/>
        <v>-197778.60689832852</v>
      </c>
      <c r="T115" s="140">
        <f t="shared" si="50"/>
        <v>-441869.8699356863</v>
      </c>
      <c r="U115" s="139"/>
      <c r="V115" s="139">
        <f t="shared" si="33"/>
        <v>117</v>
      </c>
      <c r="W115" s="140">
        <f>Q115*IF('Inputs and Results'!$I$56=TRUE,(1-E60),IF('Inputs and Results'!$I$54=TRUE,(1-E60),1))</f>
        <v>-553077.5214810906</v>
      </c>
      <c r="X115" s="140">
        <f t="shared" si="39"/>
        <v>0</v>
      </c>
      <c r="Y115" s="140">
        <f t="shared" si="40"/>
        <v>0</v>
      </c>
      <c r="Z115" s="140">
        <f t="shared" si="41"/>
        <v>0</v>
      </c>
      <c r="AA115" s="139"/>
      <c r="AB115" s="139"/>
      <c r="AC115" s="96"/>
    </row>
    <row r="116" spans="1:29" ht="12.75">
      <c r="A116" s="139">
        <f t="shared" si="44"/>
        <v>118</v>
      </c>
      <c r="B116" s="140">
        <f t="shared" si="45"/>
        <v>28891.92511241663</v>
      </c>
      <c r="C116" s="140">
        <f>IF('Inputs and Results'!$I$54=TRUE,J61*(1-E61),J61-Y61)</f>
        <v>9248.604006398144</v>
      </c>
      <c r="D116" s="140">
        <f>IF('Inputs and Results'!$I$54=TRUE,L61*(1-E61),L61-AA61)</f>
        <v>18691.091923024338</v>
      </c>
      <c r="E116" s="140">
        <f>IF('Inputs and Results'!$I$54=TRUE,K61*(1-E61),K61-Z61)</f>
        <v>2907.8629800000003</v>
      </c>
      <c r="F116" s="141">
        <f t="shared" si="34"/>
        <v>8.748179510515081</v>
      </c>
      <c r="G116" s="139">
        <f t="shared" si="42"/>
        <v>118</v>
      </c>
      <c r="H116" s="140">
        <f t="shared" si="35"/>
        <v>0</v>
      </c>
      <c r="I116" s="140">
        <f t="shared" si="36"/>
        <v>0</v>
      </c>
      <c r="J116" s="140">
        <f t="shared" si="37"/>
        <v>0</v>
      </c>
      <c r="K116" s="140">
        <f t="shared" si="38"/>
        <v>0</v>
      </c>
      <c r="L116" s="139">
        <f t="shared" si="43"/>
        <v>118</v>
      </c>
      <c r="M116" s="140">
        <f t="shared" si="51"/>
        <v>0</v>
      </c>
      <c r="N116" s="140">
        <f t="shared" si="52"/>
        <v>0</v>
      </c>
      <c r="O116" s="140">
        <f t="shared" si="53"/>
        <v>0</v>
      </c>
      <c r="P116" s="139">
        <f t="shared" si="46"/>
        <v>118</v>
      </c>
      <c r="Q116" s="140">
        <f t="shared" si="47"/>
        <v>-591560.5934737376</v>
      </c>
      <c r="R116" s="140">
        <f t="shared" si="48"/>
        <v>-353204.3119558988</v>
      </c>
      <c r="S116" s="140">
        <f t="shared" si="49"/>
        <v>-211408.0955847529</v>
      </c>
      <c r="T116" s="140">
        <f t="shared" si="50"/>
        <v>-475541.0981950349</v>
      </c>
      <c r="U116" s="139"/>
      <c r="V116" s="139">
        <f t="shared" si="33"/>
        <v>118</v>
      </c>
      <c r="W116" s="140">
        <f>Q116*IF('Inputs and Results'!$I$56=TRUE,(1-E61),IF('Inputs and Results'!$I$54=TRUE,(1-E61),1))</f>
        <v>-591560.5934737376</v>
      </c>
      <c r="X116" s="140">
        <f t="shared" si="39"/>
        <v>0</v>
      </c>
      <c r="Y116" s="140">
        <f t="shared" si="40"/>
        <v>0</v>
      </c>
      <c r="Z116" s="140">
        <f t="shared" si="41"/>
        <v>0</v>
      </c>
      <c r="AA116" s="139"/>
      <c r="AB116" s="139"/>
      <c r="AC116" s="96"/>
    </row>
    <row r="117" spans="1:29" ht="12.75">
      <c r="A117" s="139">
        <f t="shared" si="44"/>
        <v>119</v>
      </c>
      <c r="B117" s="140">
        <f t="shared" si="45"/>
        <v>30336.52136803746</v>
      </c>
      <c r="C117" s="140">
        <f>IF('Inputs and Results'!$I$54=TRUE,J62*(1-E62),J62-Y62)</f>
        <v>9526.062126590088</v>
      </c>
      <c r="D117" s="140">
        <f>IF('Inputs and Results'!$I$54=TRUE,L62*(1-E62),L62-AA62)</f>
        <v>19625.646519175556</v>
      </c>
      <c r="E117" s="140">
        <f>IF('Inputs and Results'!$I$54=TRUE,K62*(1-E62),K62-Z62)</f>
        <v>2907.8629800000003</v>
      </c>
      <c r="F117" s="141">
        <f t="shared" si="34"/>
        <v>9.185588486040835</v>
      </c>
      <c r="G117" s="139">
        <f t="shared" si="42"/>
        <v>119</v>
      </c>
      <c r="H117" s="140">
        <f t="shared" si="35"/>
        <v>0</v>
      </c>
      <c r="I117" s="140">
        <f t="shared" si="36"/>
        <v>0</v>
      </c>
      <c r="J117" s="140">
        <f t="shared" si="37"/>
        <v>0</v>
      </c>
      <c r="K117" s="140">
        <f t="shared" si="38"/>
        <v>0</v>
      </c>
      <c r="L117" s="139">
        <f t="shared" si="43"/>
        <v>119</v>
      </c>
      <c r="M117" s="140">
        <f t="shared" si="51"/>
        <v>0</v>
      </c>
      <c r="N117" s="140">
        <f t="shared" si="52"/>
        <v>0</v>
      </c>
      <c r="O117" s="140">
        <f t="shared" si="53"/>
        <v>0</v>
      </c>
      <c r="P117" s="139">
        <f t="shared" si="46"/>
        <v>119</v>
      </c>
      <c r="Q117" s="140">
        <f t="shared" si="47"/>
        <v>-632150.832477041</v>
      </c>
      <c r="R117" s="140">
        <f t="shared" si="48"/>
        <v>-380159.7724499911</v>
      </c>
      <c r="S117" s="140">
        <f t="shared" si="49"/>
        <v>-225782.27414147</v>
      </c>
      <c r="T117" s="140">
        <f t="shared" si="50"/>
        <v>-511238.17330594733</v>
      </c>
      <c r="U117" s="139"/>
      <c r="V117" s="139">
        <f t="shared" si="33"/>
        <v>119</v>
      </c>
      <c r="W117" s="140">
        <f>Q117*IF('Inputs and Results'!$I$56=TRUE,(1-E62),IF('Inputs and Results'!$I$54=TRUE,(1-E62),1))</f>
        <v>-632150.832477041</v>
      </c>
      <c r="X117" s="140">
        <f t="shared" si="39"/>
        <v>0</v>
      </c>
      <c r="Y117" s="140">
        <f t="shared" si="40"/>
        <v>0</v>
      </c>
      <c r="Z117" s="140">
        <f t="shared" si="41"/>
        <v>0</v>
      </c>
      <c r="AA117" s="139"/>
      <c r="AB117" s="139"/>
      <c r="AC117" s="96"/>
    </row>
    <row r="118" spans="1:29" ht="12.75">
      <c r="A118" s="139">
        <f t="shared" si="44"/>
        <v>120</v>
      </c>
      <c r="B118" s="140">
        <f t="shared" si="45"/>
        <v>31853.347436439337</v>
      </c>
      <c r="C118" s="140">
        <f>IF('Inputs and Results'!$I$54=TRUE,J63*(1-E63),J63-Y63)</f>
        <v>9811.843990387792</v>
      </c>
      <c r="D118" s="140">
        <f>IF('Inputs and Results'!$I$54=TRUE,L63*(1-E63),L63-AA63)</f>
        <v>20606.928845134335</v>
      </c>
      <c r="E118" s="140">
        <f>IF('Inputs and Results'!$I$54=TRUE,K63*(1-E63),K63-Z63)</f>
        <v>2907.8629800000003</v>
      </c>
      <c r="F118" s="141">
        <f t="shared" si="34"/>
        <v>9.644867910342878</v>
      </c>
      <c r="G118" s="139">
        <f t="shared" si="42"/>
        <v>120</v>
      </c>
      <c r="H118" s="140">
        <f t="shared" si="35"/>
        <v>0</v>
      </c>
      <c r="I118" s="140">
        <f t="shared" si="36"/>
        <v>0</v>
      </c>
      <c r="J118" s="140">
        <f t="shared" si="37"/>
        <v>0</v>
      </c>
      <c r="K118" s="140">
        <f t="shared" si="38"/>
        <v>0</v>
      </c>
      <c r="L118" s="139">
        <f t="shared" si="43"/>
        <v>120</v>
      </c>
      <c r="M118" s="140">
        <f t="shared" si="51"/>
        <v>0</v>
      </c>
      <c r="N118" s="140">
        <f t="shared" si="52"/>
        <v>0</v>
      </c>
      <c r="O118" s="140">
        <f t="shared" si="53"/>
        <v>0</v>
      </c>
      <c r="P118" s="139">
        <f t="shared" si="46"/>
        <v>120</v>
      </c>
      <c r="Q118" s="140">
        <f t="shared" si="47"/>
        <v>-674956.6897681801</v>
      </c>
      <c r="R118" s="140">
        <f t="shared" si="48"/>
        <v>-408812.22675456654</v>
      </c>
      <c r="S118" s="140">
        <f t="shared" si="49"/>
        <v>-240939.44540286233</v>
      </c>
      <c r="T118" s="140">
        <f t="shared" si="50"/>
        <v>-549068.172234914</v>
      </c>
      <c r="U118" s="139"/>
      <c r="V118" s="139">
        <f t="shared" si="33"/>
        <v>120</v>
      </c>
      <c r="W118" s="140">
        <f>Q118*IF('Inputs and Results'!$I$56=TRUE,(1-E63),IF('Inputs and Results'!$I$54=TRUE,(1-E63),1))</f>
        <v>-674956.6897681801</v>
      </c>
      <c r="X118" s="140">
        <f t="shared" si="39"/>
        <v>0</v>
      </c>
      <c r="Y118" s="140">
        <f t="shared" si="40"/>
        <v>0</v>
      </c>
      <c r="Z118" s="140">
        <f t="shared" si="41"/>
        <v>0</v>
      </c>
      <c r="AA118" s="139"/>
      <c r="AB118" s="139"/>
      <c r="AC118" s="96"/>
    </row>
    <row r="119" spans="1:29" ht="12.75">
      <c r="A119" s="139"/>
      <c r="B119" s="139"/>
      <c r="C119" s="139"/>
      <c r="D119" s="139"/>
      <c r="E119" s="139"/>
      <c r="F119" s="139"/>
      <c r="G119" s="139"/>
      <c r="H119" s="139"/>
      <c r="I119" s="139"/>
      <c r="J119" s="140"/>
      <c r="K119" s="140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96"/>
    </row>
    <row r="120" spans="1:28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</sheetData>
  <sheetProtection password="EA69" sheet="1" objects="1" scenarios="1"/>
  <conditionalFormatting sqref="AA64 Y64 W64">
    <cfRule type="cellIs" priority="1" dxfId="0" operator="greaterThan" stopIfTrue="1">
      <formula>100000</formula>
    </cfRule>
  </conditionalFormatting>
  <conditionalFormatting sqref="AI14:AI64 P64:T64 M13:P63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K. Hebeler</cp:lastModifiedBy>
  <cp:lastPrinted>2007-03-11T14:19:09Z</cp:lastPrinted>
  <dcterms:created xsi:type="dcterms:W3CDTF">2007-02-13T02:59:08Z</dcterms:created>
  <dcterms:modified xsi:type="dcterms:W3CDTF">2007-05-14T03:35:20Z</dcterms:modified>
  <cp:category/>
  <cp:version/>
  <cp:contentType/>
  <cp:contentStatus/>
</cp:coreProperties>
</file>